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ial\Procurement\RENOVASI TAMPOMAS\Tender\"/>
    </mc:Choice>
  </mc:AlternateContent>
  <xr:revisionPtr revIDLastSave="0" documentId="13_ncr:1_{03BFF97A-D19A-4E49-AED1-1A969BE8A9D1}" xr6:coauthVersionLast="47" xr6:coauthVersionMax="47" xr10:uidLastSave="{00000000-0000-0000-0000-000000000000}"/>
  <bookViews>
    <workbookView xWindow="-96" yWindow="-96" windowWidth="23232" windowHeight="13872" activeTab="3" xr2:uid="{22D12DD1-A3B3-490E-A123-D4E22465B938}"/>
  </bookViews>
  <sheets>
    <sheet name="Summary dan Termin Pembayaran" sheetId="3" r:id="rId1"/>
    <sheet name="1. BoQ Bangunan" sheetId="10" r:id="rId2"/>
    <sheet name="2. BoQ Interior" sheetId="11" r:id="rId3"/>
    <sheet name="3.BoQ Storage (Doks &amp; barang)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G13" i="10"/>
  <c r="D5" i="3"/>
  <c r="D4" i="3" l="1"/>
  <c r="G46" i="11"/>
  <c r="G45" i="11"/>
  <c r="G44" i="11"/>
  <c r="G41" i="11"/>
  <c r="G40" i="11"/>
  <c r="G39" i="11"/>
  <c r="E36" i="11"/>
  <c r="G36" i="11" s="1"/>
  <c r="G35" i="11"/>
  <c r="G34" i="11"/>
  <c r="G31" i="11"/>
  <c r="G30" i="11"/>
  <c r="G32" i="11" s="1"/>
  <c r="E27" i="11"/>
  <c r="G27" i="11" s="1"/>
  <c r="G26" i="11"/>
  <c r="G25" i="11"/>
  <c r="G24" i="11"/>
  <c r="E21" i="11"/>
  <c r="G21" i="11" s="1"/>
  <c r="E20" i="11"/>
  <c r="G20" i="11" s="1"/>
  <c r="G19" i="11"/>
  <c r="G18" i="11"/>
  <c r="G17" i="11"/>
  <c r="G14" i="11"/>
  <c r="G13" i="11"/>
  <c r="G12" i="11"/>
  <c r="G201" i="10"/>
  <c r="G200" i="10"/>
  <c r="G199" i="10"/>
  <c r="G198" i="10"/>
  <c r="G197" i="10"/>
  <c r="G196" i="10"/>
  <c r="G195" i="10"/>
  <c r="E194" i="10"/>
  <c r="G194" i="10" s="1"/>
  <c r="E191" i="10"/>
  <c r="G191" i="10" s="1"/>
  <c r="E190" i="10"/>
  <c r="G190" i="10" s="1"/>
  <c r="E189" i="10"/>
  <c r="G189" i="10" s="1"/>
  <c r="E188" i="10"/>
  <c r="G188" i="10" s="1"/>
  <c r="E187" i="10"/>
  <c r="G187" i="10" s="1"/>
  <c r="G184" i="10"/>
  <c r="G183" i="10"/>
  <c r="G182" i="10"/>
  <c r="G181" i="10"/>
  <c r="E179" i="10"/>
  <c r="E180" i="10" s="1"/>
  <c r="G180" i="10" s="1"/>
  <c r="E178" i="10"/>
  <c r="G178" i="10" s="1"/>
  <c r="G177" i="10"/>
  <c r="G176" i="10"/>
  <c r="E175" i="10"/>
  <c r="G175" i="10" s="1"/>
  <c r="E174" i="10"/>
  <c r="G174" i="10" s="1"/>
  <c r="E173" i="10"/>
  <c r="G173" i="10" s="1"/>
  <c r="E172" i="10"/>
  <c r="G172" i="10" s="1"/>
  <c r="E171" i="10"/>
  <c r="G171" i="10" s="1"/>
  <c r="E170" i="10"/>
  <c r="G170" i="10" s="1"/>
  <c r="G167" i="10"/>
  <c r="G166" i="10"/>
  <c r="G165" i="10"/>
  <c r="E164" i="10"/>
  <c r="G164" i="10" s="1"/>
  <c r="E163" i="10"/>
  <c r="G163" i="10" s="1"/>
  <c r="G162" i="10"/>
  <c r="G161" i="10"/>
  <c r="G160" i="10"/>
  <c r="G159" i="10"/>
  <c r="E157" i="10"/>
  <c r="E158" i="10" s="1"/>
  <c r="G158" i="10" s="1"/>
  <c r="E156" i="10"/>
  <c r="G156" i="10" s="1"/>
  <c r="G155" i="10"/>
  <c r="G154" i="10"/>
  <c r="E153" i="10"/>
  <c r="G153" i="10" s="1"/>
  <c r="E152" i="10"/>
  <c r="G152" i="10" s="1"/>
  <c r="E151" i="10"/>
  <c r="G151" i="10" s="1"/>
  <c r="E150" i="10"/>
  <c r="G150" i="10" s="1"/>
  <c r="E149" i="10"/>
  <c r="G149" i="10" s="1"/>
  <c r="G146" i="10"/>
  <c r="G145" i="10"/>
  <c r="E144" i="10"/>
  <c r="G144" i="10" s="1"/>
  <c r="G143" i="10"/>
  <c r="E142" i="10"/>
  <c r="G142" i="10" s="1"/>
  <c r="G139" i="10"/>
  <c r="G138" i="10"/>
  <c r="G137" i="10"/>
  <c r="G136" i="10"/>
  <c r="G135" i="10"/>
  <c r="G134" i="10"/>
  <c r="G133" i="10"/>
  <c r="G132" i="10"/>
  <c r="G131" i="10"/>
  <c r="G130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A116" i="10"/>
  <c r="A117" i="10" s="1"/>
  <c r="G115" i="10"/>
  <c r="G112" i="10"/>
  <c r="G111" i="10"/>
  <c r="G110" i="10"/>
  <c r="G109" i="10"/>
  <c r="G108" i="10"/>
  <c r="G107" i="10"/>
  <c r="G106" i="10"/>
  <c r="G105" i="10"/>
  <c r="G102" i="10"/>
  <c r="G101" i="10"/>
  <c r="G100" i="10"/>
  <c r="E98" i="10"/>
  <c r="G98" i="10" s="1"/>
  <c r="E97" i="10"/>
  <c r="G97" i="10" s="1"/>
  <c r="G94" i="10"/>
  <c r="G93" i="10"/>
  <c r="G90" i="10"/>
  <c r="G89" i="10"/>
  <c r="G88" i="10"/>
  <c r="G87" i="10"/>
  <c r="G86" i="10"/>
  <c r="G85" i="10"/>
  <c r="G82" i="10"/>
  <c r="G81" i="10"/>
  <c r="G80" i="10"/>
  <c r="E79" i="10"/>
  <c r="G79" i="10" s="1"/>
  <c r="G78" i="10"/>
  <c r="G77" i="10"/>
  <c r="G76" i="10"/>
  <c r="G75" i="10"/>
  <c r="G74" i="10"/>
  <c r="G73" i="10"/>
  <c r="G72" i="10"/>
  <c r="E69" i="10"/>
  <c r="G69" i="10" s="1"/>
  <c r="E68" i="10"/>
  <c r="G68" i="10" s="1"/>
  <c r="E67" i="10"/>
  <c r="E99" i="10" s="1"/>
  <c r="G99" i="10" s="1"/>
  <c r="E64" i="10"/>
  <c r="G64" i="10" s="1"/>
  <c r="E63" i="10"/>
  <c r="G63" i="10" s="1"/>
  <c r="G62" i="10"/>
  <c r="E61" i="10"/>
  <c r="G61" i="10" s="1"/>
  <c r="G60" i="10"/>
  <c r="G59" i="10"/>
  <c r="G58" i="10"/>
  <c r="G57" i="10"/>
  <c r="G56" i="10"/>
  <c r="E53" i="10"/>
  <c r="G53" i="10" s="1"/>
  <c r="G52" i="10"/>
  <c r="G51" i="10"/>
  <c r="G50" i="10"/>
  <c r="G49" i="10"/>
  <c r="G43" i="10"/>
  <c r="E42" i="10"/>
  <c r="G42" i="10" s="1"/>
  <c r="E39" i="10"/>
  <c r="G39" i="10" s="1"/>
  <c r="E38" i="10"/>
  <c r="G38" i="10" s="1"/>
  <c r="E37" i="10"/>
  <c r="G37" i="10" s="1"/>
  <c r="E36" i="10"/>
  <c r="G36" i="10" s="1"/>
  <c r="E35" i="10"/>
  <c r="G35" i="10" s="1"/>
  <c r="E34" i="10"/>
  <c r="G34" i="10" s="1"/>
  <c r="E33" i="10"/>
  <c r="G33" i="10" s="1"/>
  <c r="E32" i="10"/>
  <c r="G32" i="10" s="1"/>
  <c r="E31" i="10"/>
  <c r="G31" i="10" s="1"/>
  <c r="E30" i="10"/>
  <c r="G30" i="10" s="1"/>
  <c r="E29" i="10"/>
  <c r="G29" i="10" s="1"/>
  <c r="E26" i="10"/>
  <c r="G26" i="10" s="1"/>
  <c r="G25" i="10"/>
  <c r="E24" i="10"/>
  <c r="G24" i="10" s="1"/>
  <c r="E23" i="10"/>
  <c r="G23" i="10" s="1"/>
  <c r="G20" i="10"/>
  <c r="E19" i="10"/>
  <c r="G19" i="10" s="1"/>
  <c r="G18" i="10"/>
  <c r="G17" i="10"/>
  <c r="G16" i="10"/>
  <c r="G15" i="10"/>
  <c r="G14" i="10"/>
  <c r="G12" i="10"/>
  <c r="G11" i="9"/>
  <c r="G13" i="9"/>
  <c r="G12" i="9"/>
  <c r="G15" i="11" l="1"/>
  <c r="G48" i="11" s="1"/>
  <c r="G47" i="11"/>
  <c r="G42" i="11"/>
  <c r="G28" i="11"/>
  <c r="G22" i="11"/>
  <c r="G37" i="11"/>
  <c r="G103" i="10"/>
  <c r="G67" i="10"/>
  <c r="G147" i="10"/>
  <c r="G157" i="10"/>
  <c r="E192" i="10"/>
  <c r="E193" i="10" s="1"/>
  <c r="G193" i="10" s="1"/>
  <c r="G140" i="10"/>
  <c r="G44" i="10"/>
  <c r="G70" i="10"/>
  <c r="G113" i="10"/>
  <c r="G27" i="10"/>
  <c r="G65" i="10"/>
  <c r="G128" i="10"/>
  <c r="G21" i="10"/>
  <c r="G91" i="10"/>
  <c r="G168" i="10"/>
  <c r="G40" i="10"/>
  <c r="G83" i="10"/>
  <c r="E46" i="10"/>
  <c r="G179" i="10"/>
  <c r="G185" i="10" s="1"/>
  <c r="G15" i="9"/>
  <c r="G192" i="10" l="1"/>
  <c r="G202" i="10" s="1"/>
  <c r="G203" i="10" s="1"/>
  <c r="G46" i="10"/>
  <c r="E47" i="10"/>
  <c r="G47" i="10" s="1"/>
  <c r="G16" i="9"/>
  <c r="G17" i="9" s="1"/>
  <c r="G54" i="10" l="1"/>
  <c r="G205" i="10" s="1"/>
  <c r="D7" i="3" l="1"/>
  <c r="H3" i="3" s="1"/>
  <c r="H8" i="3" s="1"/>
</calcChain>
</file>

<file path=xl/sharedStrings.xml><?xml version="1.0" encoding="utf-8"?>
<sst xmlns="http://schemas.openxmlformats.org/spreadsheetml/2006/main" count="696" uniqueCount="361">
  <si>
    <t>RENCANA ANGGARAN BIAYA</t>
  </si>
  <si>
    <t>PROYEK</t>
  </si>
  <si>
    <t>KANTOR THE SAMDHANA INSTITUTE</t>
  </si>
  <si>
    <t>LOKASI</t>
  </si>
  <si>
    <t>JALAN TAMPOMAS 33 NOGOR</t>
  </si>
  <si>
    <t>PEKERJAAN</t>
  </si>
  <si>
    <t>RENOVASI BANGUNAN KANTOR</t>
  </si>
  <si>
    <t>TAHUN</t>
  </si>
  <si>
    <t>Volume</t>
  </si>
  <si>
    <t>Harga Satuan</t>
  </si>
  <si>
    <t>Jumlah Harga</t>
  </si>
  <si>
    <t>No.</t>
  </si>
  <si>
    <t>Uraian Pekerjaan</t>
  </si>
  <si>
    <t xml:space="preserve">Spesifikasi </t>
  </si>
  <si>
    <t>Sat</t>
  </si>
  <si>
    <t>Ringkas</t>
  </si>
  <si>
    <t>I.</t>
  </si>
  <si>
    <t>PEKERJAAN PERSIAPAN :</t>
  </si>
  <si>
    <t>Mob - demob alat kerja dan tenaga</t>
  </si>
  <si>
    <t>Ls</t>
  </si>
  <si>
    <t>Keamanan</t>
  </si>
  <si>
    <t>Selama kerja</t>
  </si>
  <si>
    <t>bln</t>
  </si>
  <si>
    <t>bongkar dinding dalam</t>
  </si>
  <si>
    <t>Jasa</t>
  </si>
  <si>
    <r>
      <t>M</t>
    </r>
    <r>
      <rPr>
        <vertAlign val="superscript"/>
        <sz val="9"/>
        <rFont val="Arial"/>
        <family val="2"/>
      </rPr>
      <t>2</t>
    </r>
  </si>
  <si>
    <t>bongkar partisi</t>
  </si>
  <si>
    <t xml:space="preserve">bongkar dinding taman angkut puing </t>
  </si>
  <si>
    <t>bongkar plafon</t>
  </si>
  <si>
    <t>bongkar atap</t>
  </si>
  <si>
    <t>bongkar lantai dapur</t>
  </si>
  <si>
    <t>Buang Puing</t>
  </si>
  <si>
    <t>Sub Total I</t>
  </si>
  <si>
    <t>II.</t>
  </si>
  <si>
    <t>PEKERJAAN PONDASI :</t>
  </si>
  <si>
    <t>Galian Tanah</t>
  </si>
  <si>
    <t>70x70x70 * 9 titik</t>
  </si>
  <si>
    <r>
      <t>M</t>
    </r>
    <r>
      <rPr>
        <vertAlign val="superscript"/>
        <sz val="9"/>
        <rFont val="Arial"/>
        <family val="2"/>
      </rPr>
      <t>3</t>
    </r>
  </si>
  <si>
    <t>Pondasi Beton Setempat/Telapak</t>
  </si>
  <si>
    <t>70x70 * 10 titik</t>
  </si>
  <si>
    <t>Pondasi Batu Kali</t>
  </si>
  <si>
    <t>1 PC : 5 Psr</t>
  </si>
  <si>
    <r>
      <t>M</t>
    </r>
    <r>
      <rPr>
        <vertAlign val="superscript"/>
        <sz val="9"/>
        <rFont val="Arial"/>
        <family val="2"/>
      </rPr>
      <t>1</t>
    </r>
  </si>
  <si>
    <t xml:space="preserve">Sloof </t>
  </si>
  <si>
    <t>Sub Total II</t>
  </si>
  <si>
    <t>III.</t>
  </si>
  <si>
    <t>PEKERJAAN KONSTRUKSI BETON :</t>
  </si>
  <si>
    <t xml:space="preserve">Kolom Struktur  </t>
  </si>
  <si>
    <t>15x30 cm. K 175</t>
  </si>
  <si>
    <t>Kolom Praktis</t>
  </si>
  <si>
    <t>15x15 cm. K 175</t>
  </si>
  <si>
    <t>Balok Utama</t>
  </si>
  <si>
    <t>Balok Anak</t>
  </si>
  <si>
    <t>15x20 cm. K 175</t>
  </si>
  <si>
    <t>Ring Balok</t>
  </si>
  <si>
    <t>Dak atap</t>
  </si>
  <si>
    <t>t : 12 cm K 175</t>
  </si>
  <si>
    <t>Kolom  tambahan teras depan</t>
  </si>
  <si>
    <t>Balok tambahan teras depan</t>
  </si>
  <si>
    <t>Dak atap kanopi teras depan</t>
  </si>
  <si>
    <t>Dak atap gudang</t>
  </si>
  <si>
    <t>Dak tangga belakang</t>
  </si>
  <si>
    <t>t : 15 cm K 175</t>
  </si>
  <si>
    <t>Sub Total III</t>
  </si>
  <si>
    <t>IV.</t>
  </si>
  <si>
    <t>PEKERJAAN DINDING :</t>
  </si>
  <si>
    <t>Pas. Hebel</t>
  </si>
  <si>
    <t xml:space="preserve">t : 10 cm </t>
  </si>
  <si>
    <t>Pasangan roster teras depan</t>
  </si>
  <si>
    <t>Roster beton minimalis</t>
  </si>
  <si>
    <t>Sub Total IV.</t>
  </si>
  <si>
    <t>V.</t>
  </si>
  <si>
    <t>PEKERJAAN PELAPIS DINDING :</t>
  </si>
  <si>
    <t>Plester Dinding</t>
  </si>
  <si>
    <t>Semen abu2 ex. Tiga Roda+pasir putih</t>
  </si>
  <si>
    <t>Acian Dinding</t>
  </si>
  <si>
    <t>Semen abu2 ex. Tiga Roda</t>
  </si>
  <si>
    <t>Pasangan  Dinding</t>
  </si>
  <si>
    <t xml:space="preserve">     Dinding Meja Dapur </t>
  </si>
  <si>
    <t>Granite tile 600x600 Tinggi 60 cm</t>
  </si>
  <si>
    <t xml:space="preserve">     Dinding KM Taman Samping</t>
  </si>
  <si>
    <t>Granite tile 600x600 Tinggi 300 cm</t>
  </si>
  <si>
    <t xml:space="preserve">     Dinding KM Musholla</t>
  </si>
  <si>
    <t xml:space="preserve">     Dinding KM Tamu</t>
  </si>
  <si>
    <t xml:space="preserve">     Pasangan bata terakota</t>
  </si>
  <si>
    <t>Sub Total V.</t>
  </si>
  <si>
    <t>VI.</t>
  </si>
  <si>
    <t>PEKERJAAN ATAP :</t>
  </si>
  <si>
    <t>Rangka Baja Ringan</t>
  </si>
  <si>
    <t xml:space="preserve">Atap Genteng Keramik </t>
  </si>
  <si>
    <t>Kanmuri milenio medi grey</t>
  </si>
  <si>
    <t>Almunium Foil</t>
  </si>
  <si>
    <t>double sided</t>
  </si>
  <si>
    <t>Nok</t>
  </si>
  <si>
    <t>Listplank GRC</t>
  </si>
  <si>
    <t>Fin. Cat</t>
  </si>
  <si>
    <t>Waterproofing Dak Beton</t>
  </si>
  <si>
    <t>Ex-Sika atau setara</t>
  </si>
  <si>
    <t>Acian bawah dak beton exposed</t>
  </si>
  <si>
    <t>rapat, gudang, teras</t>
  </si>
  <si>
    <t>Atap alderon 3 sisi listplank plat besi</t>
  </si>
  <si>
    <t>rangka 5x10 dan 4x6</t>
  </si>
  <si>
    <t>Sub Total VI.</t>
  </si>
  <si>
    <t>VII.</t>
  </si>
  <si>
    <t>PEKERJAAN PLAFOND :</t>
  </si>
  <si>
    <t xml:space="preserve">Plafond Gypsum </t>
  </si>
  <si>
    <t>Gypsum board ex. Jayaboard 9 mm</t>
  </si>
  <si>
    <t xml:space="preserve">List Gypsum </t>
  </si>
  <si>
    <t>shadowline</t>
  </si>
  <si>
    <t xml:space="preserve">Plafond PVC tritisan atap </t>
  </si>
  <si>
    <t xml:space="preserve">PVC </t>
  </si>
  <si>
    <t>Sub Total VII.</t>
  </si>
  <si>
    <t>VIII.</t>
  </si>
  <si>
    <t>PEKERJAAN LANTAI :</t>
  </si>
  <si>
    <t xml:space="preserve">    Dapur</t>
  </si>
  <si>
    <t xml:space="preserve">Granite tile 600x600 </t>
  </si>
  <si>
    <t xml:space="preserve">    Teras belakang</t>
  </si>
  <si>
    <t xml:space="preserve">     Lantai KM Taman Samping</t>
  </si>
  <si>
    <t xml:space="preserve">     Lantai KM Musholla</t>
  </si>
  <si>
    <t xml:space="preserve">     Lantai KM Tamu</t>
  </si>
  <si>
    <t xml:space="preserve">     Gudang bawah</t>
  </si>
  <si>
    <t xml:space="preserve">     Gudang atas</t>
  </si>
  <si>
    <t xml:space="preserve">     Tangga Belakang</t>
  </si>
  <si>
    <t xml:space="preserve">Plint Keramik </t>
  </si>
  <si>
    <t>Granite tile 100x600 gudang</t>
  </si>
  <si>
    <t>M¹</t>
  </si>
  <si>
    <t>Pebaikan lantai bongkaran pipa gas</t>
  </si>
  <si>
    <t>keramik 30x30</t>
  </si>
  <si>
    <t>Sub Total VIII.</t>
  </si>
  <si>
    <t>IX.</t>
  </si>
  <si>
    <t>PEKERJAAN KUSEN, PINTU &amp; JENDELA :</t>
  </si>
  <si>
    <t xml:space="preserve">  </t>
  </si>
  <si>
    <t>Kayu Jati</t>
  </si>
  <si>
    <t>Unit</t>
  </si>
  <si>
    <t>Bongkar pasang pintu</t>
  </si>
  <si>
    <t>eksisting</t>
  </si>
  <si>
    <t>Pintu Lipat Meeting kecil 4 daun+rel</t>
  </si>
  <si>
    <t>Alumunium + Kaca 5mm</t>
  </si>
  <si>
    <t>Bouvent gudang dan bawah atap</t>
  </si>
  <si>
    <t>Pintu gudang</t>
  </si>
  <si>
    <t>Alumunium</t>
  </si>
  <si>
    <t>Sub Total IX.</t>
  </si>
  <si>
    <t>X.</t>
  </si>
  <si>
    <t>PEKERJAAN AKSESORIS PINTU :</t>
  </si>
  <si>
    <t>Handel dan Kunci</t>
  </si>
  <si>
    <t>Set</t>
  </si>
  <si>
    <t>Engsel</t>
  </si>
  <si>
    <t>Solid</t>
  </si>
  <si>
    <t>Sub Total X.</t>
  </si>
  <si>
    <t>XI.</t>
  </si>
  <si>
    <t>PEKERJAAN PENGECATAN :</t>
  </si>
  <si>
    <t xml:space="preserve">Cat Dinding dalam </t>
  </si>
  <si>
    <t>Cat Tembok Vinylex</t>
  </si>
  <si>
    <t>Cat Dinding Luar</t>
  </si>
  <si>
    <t>Cat Tembok Dulux Weathercoat</t>
  </si>
  <si>
    <t>Cat Plafond Gypsum + Topi</t>
  </si>
  <si>
    <t>Cat Pintu</t>
  </si>
  <si>
    <t>Vernis</t>
  </si>
  <si>
    <t>Bh</t>
  </si>
  <si>
    <t>Cat jendela</t>
  </si>
  <si>
    <t>Sub Total XI.</t>
  </si>
  <si>
    <t>XII.</t>
  </si>
  <si>
    <t>PEKERJAAN INSTALASI AIR :</t>
  </si>
  <si>
    <t>Instalasi Air Bersih</t>
  </si>
  <si>
    <t>PVC 1/2" type AW-Ex Wavin</t>
  </si>
  <si>
    <t>PVC 1" type AW-Ex Wavin</t>
  </si>
  <si>
    <t>Instalasi Air Hujan (  dari dak talang )</t>
  </si>
  <si>
    <t>PVC 3" type D-Wavin</t>
  </si>
  <si>
    <t>Instalasi Kotor</t>
  </si>
  <si>
    <t>PVC 4" type D-Wavin</t>
  </si>
  <si>
    <t>Bak kontrol</t>
  </si>
  <si>
    <t>pasangan bata plester aci+grill besi</t>
  </si>
  <si>
    <t>ttk</t>
  </si>
  <si>
    <t>Pipa Gas</t>
  </si>
  <si>
    <t>HDPE</t>
  </si>
  <si>
    <t>Sub Total XII.</t>
  </si>
  <si>
    <t>XIII.</t>
  </si>
  <si>
    <t>PEKERJAAN INSTALASI LISTRIK :</t>
  </si>
  <si>
    <t xml:space="preserve">instalasi Titik Lampu </t>
  </si>
  <si>
    <t>NYM 2 x 2,5 mm + pipa PVC Ex Eterna</t>
  </si>
  <si>
    <t>Ttk</t>
  </si>
  <si>
    <t>Saklar Single</t>
  </si>
  <si>
    <t>EX. Panasonic</t>
  </si>
  <si>
    <t>Saklar Double</t>
  </si>
  <si>
    <t>Inst. Stop Kontak</t>
  </si>
  <si>
    <t>NYM 3 x 2,5 mm + pipa PVC Ex Eterna</t>
  </si>
  <si>
    <t>Stop Kontak tanam lantai</t>
  </si>
  <si>
    <t>Lampu Down Light</t>
  </si>
  <si>
    <t>LED ex. philips 18 w flat</t>
  </si>
  <si>
    <t>Lampu Gantung kotak 15x150 cm</t>
  </si>
  <si>
    <t>custom multiplek+HPL+acrylic putih</t>
  </si>
  <si>
    <t>Lampu Gantung bulat industrial</t>
  </si>
  <si>
    <t>Inst. Stop Kontak AC</t>
  </si>
  <si>
    <t>Lampu neon p 120 cm</t>
  </si>
  <si>
    <t>ex. Phillips</t>
  </si>
  <si>
    <t>Lampu LED 18 w</t>
  </si>
  <si>
    <t>ex. Philips</t>
  </si>
  <si>
    <t>Instalasi Lampu spot LED</t>
  </si>
  <si>
    <t>ex. Eterna atau setara</t>
  </si>
  <si>
    <t>Lampu spot LED</t>
  </si>
  <si>
    <t>LED ex. philips 20 w flat warm</t>
  </si>
  <si>
    <t>set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</si>
  <si>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</si>
  <si>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 Total XIII.</t>
  </si>
  <si>
    <t>XIV.</t>
  </si>
  <si>
    <t>PEKERJAAN ACCSESS SANITAIR :</t>
  </si>
  <si>
    <t>Sink</t>
  </si>
  <si>
    <t xml:space="preserve">ONAN 6045 </t>
  </si>
  <si>
    <t>Kran Sink</t>
  </si>
  <si>
    <t>TOTO (TX 603MEB)</t>
  </si>
  <si>
    <t>Roof Drain</t>
  </si>
  <si>
    <t>bahan cast iron</t>
  </si>
  <si>
    <t>Kran taman</t>
  </si>
  <si>
    <t>Washer</t>
  </si>
  <si>
    <t>Closet duduk</t>
  </si>
  <si>
    <t>Closed Duduk TOTO type CW 660NJ/SW660 J</t>
  </si>
  <si>
    <t>Jet washer</t>
  </si>
  <si>
    <t>TOTO (THX 20 NB)</t>
  </si>
  <si>
    <t>Kran Wastafel</t>
  </si>
  <si>
    <t>TOTO (TX109LD)</t>
  </si>
  <si>
    <t>Wastafel</t>
  </si>
  <si>
    <t>TOTO type L548</t>
  </si>
  <si>
    <t>Sub Total XIV.</t>
  </si>
  <si>
    <t>XV.</t>
  </si>
  <si>
    <t>PEKERJAAN LAIN LAIN :</t>
  </si>
  <si>
    <t>Kamprot pagar keliling</t>
  </si>
  <si>
    <t>pasir putih+semen</t>
  </si>
  <si>
    <t>Resapan air</t>
  </si>
  <si>
    <t>buis beton</t>
  </si>
  <si>
    <t>Tambahan perkerasan parkir</t>
  </si>
  <si>
    <t>Polesh teraso</t>
  </si>
  <si>
    <t>jasa</t>
  </si>
  <si>
    <t>Reiling besi tangga belakang</t>
  </si>
  <si>
    <t>besi galvanized</t>
  </si>
  <si>
    <t>Gazebo Belakang :</t>
  </si>
  <si>
    <t>50x50 * 4 titik</t>
  </si>
  <si>
    <t>Kolom Struktur  beton exposed</t>
  </si>
  <si>
    <t>Sloof beton exposed</t>
  </si>
  <si>
    <t>Dak lantai gazebo</t>
  </si>
  <si>
    <t>t : 7 cm K 175</t>
  </si>
  <si>
    <t>Balok beton exposed</t>
  </si>
  <si>
    <t>15x25 cm. K 175</t>
  </si>
  <si>
    <t>Rangka atap holo 5/10 exposed</t>
  </si>
  <si>
    <t xml:space="preserve">Hollow fin cat </t>
  </si>
  <si>
    <t>Pasangan batu tempel</t>
  </si>
  <si>
    <t>batu alam</t>
  </si>
  <si>
    <t>Plester Kolom</t>
  </si>
  <si>
    <t>Acian Kolom exposed</t>
  </si>
  <si>
    <t xml:space="preserve">Lantai Granite tile 60x60 </t>
  </si>
  <si>
    <t>ex. Niro Granito</t>
  </si>
  <si>
    <t>Instalasi lampu</t>
  </si>
  <si>
    <t>Instalasi stop kontak</t>
  </si>
  <si>
    <t>Stop kontak</t>
  </si>
  <si>
    <t>urugan</t>
  </si>
  <si>
    <t>Gazebo samping :</t>
  </si>
  <si>
    <t>Dak lantai reservoir</t>
  </si>
  <si>
    <t>Cor dinding reservoir</t>
  </si>
  <si>
    <t>t : 20 cm K 175</t>
  </si>
  <si>
    <t>Pos Jaga :</t>
  </si>
  <si>
    <t>15x40 cm. K 175</t>
  </si>
  <si>
    <t>Pasangan Hebel dinding</t>
  </si>
  <si>
    <t>TEBAL 10 cm</t>
  </si>
  <si>
    <t xml:space="preserve">Pintu </t>
  </si>
  <si>
    <t>Pintu baru alumimium</t>
  </si>
  <si>
    <t>Jendela</t>
  </si>
  <si>
    <t>Jendela baru aluminium</t>
  </si>
  <si>
    <t xml:space="preserve">Cat plafond Gypsum </t>
  </si>
  <si>
    <t>Sub Total XV.</t>
  </si>
  <si>
    <t>PEMBULATAN</t>
  </si>
  <si>
    <t>Keterangan :</t>
  </si>
  <si>
    <t>Apabila ada item pekerjaan yang belum masuk, akan dihitung dipekerjaan tambah kurang.</t>
  </si>
  <si>
    <t>Lama waktu pekerjaan 6 bulan</t>
  </si>
  <si>
    <t>Calon kontraktor wajib survey sebelum mengajukan penawaran dan membuat shop drawing setelah ditunjuk sebagai kontraktor</t>
  </si>
  <si>
    <t>RENOVASI INTERIOR KANTOR</t>
  </si>
  <si>
    <t>RUANG MEETING</t>
  </si>
  <si>
    <t>besi holo 5x5 cm + multiplek fin HPL</t>
  </si>
  <si>
    <t>Backdrop white board</t>
  </si>
  <si>
    <t>Multiplek fin HPL+ kaca putih</t>
  </si>
  <si>
    <t>RUANG TUNGGU</t>
  </si>
  <si>
    <t>Bench 3 seat+coffee table</t>
  </si>
  <si>
    <t>Meja resepsionis</t>
  </si>
  <si>
    <t>Rak buku partisi finish 2 sisi</t>
  </si>
  <si>
    <t>multiplek fin HPL</t>
  </si>
  <si>
    <t>Partisi multiplek+HPL dan pintu set</t>
  </si>
  <si>
    <t>Backdrop panel resepsionis</t>
  </si>
  <si>
    <t>RUANG KERJA BERSAMA</t>
  </si>
  <si>
    <t>Meja kerja 60x150 cm</t>
  </si>
  <si>
    <t>Meja printer dan scanner 60*120 cm</t>
  </si>
  <si>
    <t>Meja bulat dia 100 cm</t>
  </si>
  <si>
    <t>Multiplek fin HPL</t>
  </si>
  <si>
    <t>RUANG MEETING KECIL</t>
  </si>
  <si>
    <t>TERAS BELAKANG</t>
  </si>
  <si>
    <t xml:space="preserve">Meja kerja </t>
  </si>
  <si>
    <t>Pantry</t>
  </si>
  <si>
    <t>DAPUR</t>
  </si>
  <si>
    <t>Meja dapur</t>
  </si>
  <si>
    <t>Upper Cabinat</t>
  </si>
  <si>
    <t>Granit top table</t>
  </si>
  <si>
    <t>RUANG PODCAST</t>
  </si>
  <si>
    <t>Meja kerja</t>
  </si>
  <si>
    <t>No</t>
  </si>
  <si>
    <t>Description</t>
  </si>
  <si>
    <t>Total IDR</t>
  </si>
  <si>
    <t>Total</t>
  </si>
  <si>
    <t>Storage dan Mobilisasi</t>
  </si>
  <si>
    <t>(Kursi, Meja, Lemari)</t>
  </si>
  <si>
    <t>Mobilisasi</t>
  </si>
  <si>
    <t>Packing</t>
  </si>
  <si>
    <t>TOTAL</t>
  </si>
  <si>
    <t>Sub TOTAL</t>
  </si>
  <si>
    <t>PPn 11%</t>
  </si>
  <si>
    <t>TOTAL I - VII</t>
  </si>
  <si>
    <t>Keteragan</t>
  </si>
  <si>
    <t>Penempatan barang tidak tumpang tindih</t>
  </si>
  <si>
    <t>Packing adalah : furniture dibungkus menggunakan plastik wrap/buuble/kardus</t>
  </si>
  <si>
    <t>Packing dan mobilisasi dilakukan oleh vendor pemilih dan di supervisi PIC dari Samdhana</t>
  </si>
  <si>
    <t>Shower</t>
  </si>
  <si>
    <t>Floor Drain</t>
  </si>
  <si>
    <t>Floor drain TOTO (TX 1 EA)</t>
  </si>
  <si>
    <t>Bln</t>
  </si>
  <si>
    <t>Atap alderon tangga belakang</t>
  </si>
  <si>
    <t xml:space="preserve">     Teras Depan Ruang Rapat</t>
  </si>
  <si>
    <t>Kusen daun jendela baru pivot</t>
  </si>
  <si>
    <t>Jendela jungkit ganti jendela nako</t>
  </si>
  <si>
    <t>interior</t>
  </si>
  <si>
    <t>Cat kusen</t>
  </si>
  <si>
    <t>Torn air 1000 l x 2 unit</t>
  </si>
  <si>
    <t>stainless steel</t>
  </si>
  <si>
    <t>unit</t>
  </si>
  <si>
    <t>Pompa dorong</t>
  </si>
  <si>
    <t>ex. simitshu</t>
  </si>
  <si>
    <t>grassblock tebal 8 cm+pasir</t>
  </si>
  <si>
    <t>Urug kolam lama</t>
  </si>
  <si>
    <t>Dinding beton kolam utk gazebo</t>
  </si>
  <si>
    <t>cor beton</t>
  </si>
  <si>
    <t>Bongkar keramik kolam renang</t>
  </si>
  <si>
    <t>Sika dinding dan lantai kolam renang</t>
  </si>
  <si>
    <t>Revisi filter dan pompa</t>
  </si>
  <si>
    <t>TOTAL I - XV</t>
  </si>
  <si>
    <t>Meja meeting 60x225</t>
  </si>
  <si>
    <t>Meja meeting 60x120</t>
  </si>
  <si>
    <t>Pintu lipat</t>
  </si>
  <si>
    <t>pintu multiplek+kaca+rel</t>
  </si>
  <si>
    <t xml:space="preserve">Perdam dinding </t>
  </si>
  <si>
    <t>Busa+kain</t>
  </si>
  <si>
    <t xml:space="preserve">Pemasangan karet  dan kaca </t>
  </si>
  <si>
    <t>pintu dan jendela</t>
  </si>
  <si>
    <t>Lama waktu pekerjaan 3 bulan</t>
  </si>
  <si>
    <t>Kursi menggunakan eksisting</t>
  </si>
  <si>
    <t>BoQ Bangunan</t>
  </si>
  <si>
    <t>BoQ Interior</t>
  </si>
  <si>
    <t xml:space="preserve">Storage Furniture kantor dan dokumen </t>
  </si>
  <si>
    <t>5%  Pelunasan setelah masa garansi selesai</t>
  </si>
  <si>
    <t>Termin Pembayaran</t>
  </si>
  <si>
    <t>Keterangan</t>
  </si>
  <si>
    <t>**Catatan: Harap berikan informasi terperinci jika Anda mengharapkan termin pembayaran yang diusulkan berbeda dari yang Samdhana usulkan untuk menyelesaikan hasil yang diharapkan (IMPERATIVE).**</t>
  </si>
  <si>
    <t>5% Uang muka setelah penandatanganan kontrak dan menyerahkan shop drawing</t>
  </si>
  <si>
    <t>50% Pelaksanaan Pekerjaan (mobilsasi dan material bangunan)</t>
  </si>
  <si>
    <t>40% Progress pekerjaan mencapai 90% renovasi</t>
  </si>
  <si>
    <t xml:space="preserve">disetujui oleh Samdhana dan Kontraktor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</si>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</sst>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0_);_(* \(#,##0.00000\);_(* &quot;-&quot;_);_(@_)"/>
    <numFmt numFmtId="167" formatCode="_([$IDR]\ * #,##0_);_([$IDR]\ * \(#,##0\);_([$IDR]\ 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name val="Book Antiqua"/>
      <family val="1"/>
    </font>
    <font>
      <b/>
      <sz val="11"/>
      <name val="Book Antiqua"/>
      <family val="1"/>
    </font>
    <font>
      <sz val="9"/>
      <color indexed="8"/>
      <name val="Arial Narrow"/>
      <family val="2"/>
    </font>
    <font>
      <b/>
      <sz val="18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72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3" fillId="0" borderId="0" xfId="0" applyFont="1"/>
    <xf numFmtId="0" fontId="9" fillId="0" borderId="0" xfId="0" applyFont="1"/>
    <xf numFmtId="0" fontId="10" fillId="0" borderId="0" xfId="0" applyFont="1"/>
    <xf numFmtId="4" fontId="0" fillId="0" borderId="0" xfId="0" applyNumberFormat="1"/>
    <xf numFmtId="41" fontId="16" fillId="0" borderId="0" xfId="7" applyFont="1" applyFill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65" fontId="5" fillId="0" borderId="1" xfId="7" applyNumberFormat="1" applyFont="1" applyFill="1" applyBorder="1" applyAlignment="1">
      <alignment horizontal="center"/>
    </xf>
    <xf numFmtId="0" fontId="5" fillId="0" borderId="17" xfId="0" applyFont="1" applyBorder="1"/>
    <xf numFmtId="0" fontId="4" fillId="0" borderId="1" xfId="0" applyFont="1" applyBorder="1" applyAlignment="1">
      <alignment horizontal="center"/>
    </xf>
    <xf numFmtId="166" fontId="5" fillId="0" borderId="1" xfId="7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7" applyNumberFormat="1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0" xfId="7" applyNumberFormat="1" applyFont="1" applyFill="1" applyBorder="1" applyAlignment="1">
      <alignment horizontal="center"/>
    </xf>
    <xf numFmtId="0" fontId="2" fillId="0" borderId="13" xfId="0" applyFont="1" applyBorder="1"/>
    <xf numFmtId="0" fontId="4" fillId="0" borderId="16" xfId="0" applyFont="1" applyBorder="1"/>
    <xf numFmtId="0" fontId="5" fillId="0" borderId="16" xfId="0" applyFont="1" applyBorder="1"/>
    <xf numFmtId="0" fontId="5" fillId="0" borderId="18" xfId="0" applyFont="1" applyBorder="1"/>
    <xf numFmtId="43" fontId="5" fillId="0" borderId="14" xfId="6" applyFont="1" applyFill="1" applyBorder="1" applyAlignment="1">
      <alignment horizontal="right"/>
    </xf>
    <xf numFmtId="0" fontId="4" fillId="0" borderId="0" xfId="0" applyFont="1"/>
    <xf numFmtId="41" fontId="2" fillId="2" borderId="0" xfId="7" applyFont="1" applyFill="1"/>
    <xf numFmtId="0" fontId="5" fillId="0" borderId="0" xfId="0" applyFont="1"/>
    <xf numFmtId="0" fontId="5" fillId="2" borderId="10" xfId="0" applyFont="1" applyFill="1" applyBorder="1"/>
    <xf numFmtId="0" fontId="20" fillId="0" borderId="36" xfId="0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vertical="top"/>
    </xf>
    <xf numFmtId="0" fontId="21" fillId="0" borderId="4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39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165" fontId="5" fillId="0" borderId="1" xfId="7" applyNumberFormat="1" applyFont="1" applyFill="1" applyBorder="1" applyAlignment="1" applyProtection="1">
      <alignment horizontal="center"/>
    </xf>
    <xf numFmtId="0" fontId="17" fillId="0" borderId="1" xfId="4" applyFont="1" applyBorder="1" applyAlignment="1">
      <alignment vertical="top" wrapText="1"/>
    </xf>
    <xf numFmtId="0" fontId="5" fillId="0" borderId="20" xfId="0" applyFont="1" applyBorder="1"/>
    <xf numFmtId="166" fontId="5" fillId="0" borderId="1" xfId="7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165" fontId="5" fillId="2" borderId="1" xfId="7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21" xfId="6" applyNumberFormat="1" applyFont="1" applyFill="1" applyBorder="1" applyAlignment="1" applyProtection="1">
      <alignment vertical="center"/>
    </xf>
    <xf numFmtId="0" fontId="0" fillId="0" borderId="1" xfId="0" applyBorder="1"/>
    <xf numFmtId="0" fontId="5" fillId="0" borderId="10" xfId="0" applyFont="1" applyBorder="1"/>
    <xf numFmtId="165" fontId="5" fillId="0" borderId="10" xfId="7" applyNumberFormat="1" applyFont="1" applyFill="1" applyBorder="1" applyAlignment="1" applyProtection="1">
      <alignment horizontal="center"/>
    </xf>
    <xf numFmtId="43" fontId="5" fillId="0" borderId="14" xfId="6" applyFont="1" applyFill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protection locked="0"/>
    </xf>
    <xf numFmtId="164" fontId="5" fillId="0" borderId="1" xfId="6" applyNumberFormat="1" applyFont="1" applyFill="1" applyBorder="1" applyProtection="1">
      <protection locked="0"/>
    </xf>
    <xf numFmtId="43" fontId="5" fillId="0" borderId="3" xfId="0" applyNumberFormat="1" applyFont="1" applyBorder="1" applyProtection="1">
      <protection locked="0"/>
    </xf>
    <xf numFmtId="43" fontId="4" fillId="0" borderId="3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5" fillId="2" borderId="1" xfId="6" applyNumberFormat="1" applyFont="1" applyFill="1" applyBorder="1" applyProtection="1">
      <protection locked="0"/>
    </xf>
    <xf numFmtId="43" fontId="5" fillId="2" borderId="3" xfId="0" applyNumberFormat="1" applyFont="1" applyFill="1" applyBorder="1" applyProtection="1">
      <protection locked="0"/>
    </xf>
    <xf numFmtId="41" fontId="5" fillId="0" borderId="1" xfId="7" applyFont="1" applyFill="1" applyBorder="1" applyAlignment="1" applyProtection="1">
      <alignment horizontal="center"/>
      <protection locked="0"/>
    </xf>
    <xf numFmtId="43" fontId="4" fillId="3" borderId="3" xfId="0" applyNumberFormat="1" applyFont="1" applyFill="1" applyBorder="1" applyProtection="1">
      <protection locked="0"/>
    </xf>
    <xf numFmtId="43" fontId="4" fillId="3" borderId="11" xfId="0" applyNumberFormat="1" applyFont="1" applyFill="1" applyBorder="1" applyProtection="1">
      <protection locked="0"/>
    </xf>
    <xf numFmtId="165" fontId="4" fillId="0" borderId="19" xfId="7" applyNumberFormat="1" applyFont="1" applyFill="1" applyBorder="1" applyProtection="1">
      <protection locked="0"/>
    </xf>
    <xf numFmtId="41" fontId="16" fillId="0" borderId="0" xfId="7" applyFont="1" applyFill="1" applyProtection="1"/>
    <xf numFmtId="41" fontId="2" fillId="2" borderId="0" xfId="7" applyFont="1" applyFill="1" applyProtection="1"/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Fill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5" fillId="0" borderId="17" xfId="1" applyFont="1" applyBorder="1" applyProtection="1">
      <protection locked="0"/>
    </xf>
    <xf numFmtId="43" fontId="4" fillId="3" borderId="30" xfId="1" applyNumberFormat="1" applyFont="1" applyFill="1" applyBorder="1" applyProtection="1">
      <protection locked="0"/>
    </xf>
    <xf numFmtId="0" fontId="5" fillId="0" borderId="31" xfId="1" applyFont="1" applyBorder="1" applyProtection="1">
      <protection locked="0"/>
    </xf>
    <xf numFmtId="165" fontId="4" fillId="0" borderId="34" xfId="3" applyNumberFormat="1" applyFont="1" applyFill="1" applyBorder="1" applyProtection="1">
      <protection locked="0"/>
    </xf>
    <xf numFmtId="0" fontId="2" fillId="0" borderId="0" xfId="1"/>
    <xf numFmtId="0" fontId="13" fillId="0" borderId="0" xfId="1" applyFont="1"/>
    <xf numFmtId="0" fontId="9" fillId="0" borderId="0" xfId="1" applyFont="1"/>
    <xf numFmtId="0" fontId="10" fillId="0" borderId="0" xfId="1" applyFont="1"/>
    <xf numFmtId="4" fontId="2" fillId="0" borderId="0" xfId="1" applyNumberFormat="1"/>
    <xf numFmtId="41" fontId="16" fillId="0" borderId="0" xfId="3" applyFont="1" applyFill="1" applyProtection="1"/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41" fontId="5" fillId="0" borderId="1" xfId="3" applyFont="1" applyFill="1" applyBorder="1" applyAlignment="1" applyProtection="1">
      <alignment horizontal="center"/>
    </xf>
    <xf numFmtId="0" fontId="5" fillId="0" borderId="15" xfId="1" applyFont="1" applyBorder="1" applyAlignment="1">
      <alignment horizontal="center"/>
    </xf>
    <xf numFmtId="0" fontId="4" fillId="0" borderId="15" xfId="1" applyFont="1" applyBorder="1"/>
    <xf numFmtId="0" fontId="4" fillId="0" borderId="1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165" fontId="5" fillId="0" borderId="10" xfId="3" applyNumberFormat="1" applyFont="1" applyFill="1" applyBorder="1" applyAlignment="1" applyProtection="1">
      <alignment horizontal="center"/>
    </xf>
    <xf numFmtId="0" fontId="2" fillId="0" borderId="32" xfId="1" applyBorder="1"/>
    <xf numFmtId="0" fontId="4" fillId="0" borderId="32" xfId="1" applyFont="1" applyBorder="1"/>
    <xf numFmtId="0" fontId="5" fillId="0" borderId="32" xfId="1" applyFont="1" applyBorder="1"/>
    <xf numFmtId="0" fontId="5" fillId="0" borderId="31" xfId="1" applyFont="1" applyBorder="1"/>
    <xf numFmtId="43" fontId="5" fillId="0" borderId="33" xfId="2" applyFont="1" applyFill="1" applyBorder="1" applyAlignment="1" applyProtection="1">
      <alignment horizontal="right"/>
    </xf>
    <xf numFmtId="0" fontId="4" fillId="0" borderId="0" xfId="1" applyFont="1"/>
    <xf numFmtId="41" fontId="2" fillId="2" borderId="0" xfId="3" applyFont="1" applyFill="1" applyProtection="1"/>
    <xf numFmtId="0" fontId="5" fillId="0" borderId="0" xfId="1" applyFont="1"/>
    <xf numFmtId="164" fontId="21" fillId="0" borderId="39" xfId="0" applyNumberFormat="1" applyFont="1" applyBorder="1" applyProtection="1">
      <protection locked="0"/>
    </xf>
    <xf numFmtId="0" fontId="21" fillId="0" borderId="0" xfId="0" applyFont="1" applyAlignment="1">
      <alignment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167" fontId="20" fillId="0" borderId="39" xfId="0" applyNumberFormat="1" applyFont="1" applyBorder="1" applyAlignment="1" applyProtection="1">
      <alignment horizontal="center" vertical="center" wrapText="1"/>
      <protection locked="0"/>
    </xf>
    <xf numFmtId="167" fontId="20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 wrapText="1"/>
    </xf>
    <xf numFmtId="167" fontId="1" fillId="0" borderId="41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</cellXfs>
  <cellStyles count="8">
    <cellStyle name="Comma" xfId="6" builtinId="3"/>
    <cellStyle name="Comma [0]" xfId="7" builtinId="6"/>
    <cellStyle name="Comma [0] 2" xfId="3" xr:uid="{DE83DAC6-A359-421E-9103-10711622A56C}"/>
    <cellStyle name="Comma 2" xfId="2" xr:uid="{C3FCC9C8-168A-4960-B814-62F13A683771}"/>
    <cellStyle name="Comma 3" xfId="5" xr:uid="{4E87127D-C812-45DE-82D4-AB0337DED68B}"/>
    <cellStyle name="Normal" xfId="0" builtinId="0"/>
    <cellStyle name="Normal 2" xfId="4" xr:uid="{C05667E2-D939-471D-8A66-146B0ABF983E}"/>
    <cellStyle name="Normal 3" xfId="1" xr:uid="{109C906E-FE15-424F-80EC-4D108B0A6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8BF7-81B7-4043-8B33-FA0FCB302A04}">
  <dimension ref="B1:J34"/>
  <sheetViews>
    <sheetView workbookViewId="0">
      <selection activeCell="I6" sqref="I6"/>
    </sheetView>
  </sheetViews>
  <sheetFormatPr defaultRowHeight="14.4"/>
  <cols>
    <col min="1" max="1" width="4.47265625" customWidth="1"/>
    <col min="2" max="2" width="4.41796875" customWidth="1"/>
    <col min="3" max="3" width="25.3125" customWidth="1"/>
    <col min="4" max="4" width="34.3671875" customWidth="1"/>
    <col min="5" max="5" width="6.578125" customWidth="1"/>
    <col min="6" max="6" width="4.5234375" bestFit="1" customWidth="1"/>
    <col min="7" max="7" width="50.26171875" customWidth="1"/>
    <col min="8" max="8" width="25.89453125" customWidth="1"/>
    <col min="9" max="9" width="25.05078125" bestFit="1" customWidth="1"/>
  </cols>
  <sheetData>
    <row r="1" spans="2:10" ht="14.7" thickBot="1"/>
    <row r="2" spans="2:10" ht="15" thickTop="1" thickBot="1">
      <c r="B2" s="131" t="s">
        <v>300</v>
      </c>
      <c r="C2" s="133" t="s">
        <v>301</v>
      </c>
      <c r="D2" s="135" t="s">
        <v>302</v>
      </c>
      <c r="F2" s="150" t="s">
        <v>11</v>
      </c>
      <c r="G2" s="152" t="s">
        <v>353</v>
      </c>
      <c r="H2" s="45" t="s">
        <v>303</v>
      </c>
      <c r="I2" s="154" t="s">
        <v>354</v>
      </c>
    </row>
    <row r="3" spans="2:10" ht="15" thickTop="1" thickBot="1">
      <c r="B3" s="132"/>
      <c r="C3" s="134"/>
      <c r="D3" s="136"/>
      <c r="F3" s="151"/>
      <c r="G3" s="153"/>
      <c r="H3" s="46">
        <f>D7</f>
        <v>0</v>
      </c>
      <c r="I3" s="155"/>
    </row>
    <row r="4" spans="2:10" ht="30" customHeight="1" thickTop="1" thickBot="1">
      <c r="B4" s="47">
        <v>1</v>
      </c>
      <c r="C4" s="50" t="s">
        <v>349</v>
      </c>
      <c r="D4" s="129">
        <f>'1. BoQ Bangunan'!G206</f>
        <v>0</v>
      </c>
      <c r="F4" s="47">
        <v>1</v>
      </c>
      <c r="G4" s="48" t="s">
        <v>356</v>
      </c>
      <c r="H4" s="49"/>
      <c r="I4" s="53" t="s">
        <v>359</v>
      </c>
    </row>
    <row r="5" spans="2:10" ht="30" customHeight="1" thickTop="1" thickBot="1">
      <c r="B5" s="47">
        <v>2</v>
      </c>
      <c r="C5" s="50" t="s">
        <v>350</v>
      </c>
      <c r="D5" s="129">
        <f>'2. BoQ Interior'!G49</f>
        <v>0</v>
      </c>
      <c r="F5" s="47">
        <v>2</v>
      </c>
      <c r="G5" s="48" t="s">
        <v>357</v>
      </c>
      <c r="H5" s="49"/>
      <c r="I5" s="53" t="s">
        <v>359</v>
      </c>
    </row>
    <row r="6" spans="2:10" ht="30" customHeight="1" thickTop="1" thickBot="1">
      <c r="B6" s="47">
        <v>3</v>
      </c>
      <c r="C6" s="50" t="s">
        <v>304</v>
      </c>
      <c r="D6" s="129">
        <f>'3.BoQ Storage (Doks &amp; barang)'!G17</f>
        <v>0</v>
      </c>
      <c r="F6" s="47">
        <v>3</v>
      </c>
      <c r="G6" s="48" t="s">
        <v>358</v>
      </c>
      <c r="H6" s="49"/>
      <c r="I6" s="53" t="s">
        <v>359</v>
      </c>
    </row>
    <row r="7" spans="2:10" ht="30" customHeight="1" thickTop="1" thickBot="1">
      <c r="B7" s="137"/>
      <c r="C7" s="134" t="s">
        <v>303</v>
      </c>
      <c r="D7" s="140">
        <f>SUM(D4:D6)</f>
        <v>0</v>
      </c>
      <c r="F7" s="47">
        <v>4</v>
      </c>
      <c r="G7" s="48" t="s">
        <v>352</v>
      </c>
      <c r="H7" s="49"/>
      <c r="I7" s="53" t="s">
        <v>359</v>
      </c>
    </row>
    <row r="8" spans="2:10" ht="14.7" customHeight="1" thickTop="1" thickBot="1">
      <c r="B8" s="137"/>
      <c r="C8" s="134"/>
      <c r="D8" s="140"/>
      <c r="F8" s="142" t="s">
        <v>303</v>
      </c>
      <c r="G8" s="143"/>
      <c r="H8" s="146">
        <f>SUM(H3:H7)</f>
        <v>0</v>
      </c>
      <c r="I8" s="148"/>
    </row>
    <row r="9" spans="2:10" ht="15" customHeight="1" thickTop="1" thickBot="1">
      <c r="B9" s="138"/>
      <c r="C9" s="139"/>
      <c r="D9" s="141"/>
      <c r="F9" s="144"/>
      <c r="G9" s="145"/>
      <c r="H9" s="147"/>
      <c r="I9" s="149"/>
    </row>
    <row r="10" spans="2:10" ht="14.4" customHeight="1" thickTop="1">
      <c r="F10" s="130" t="s">
        <v>355</v>
      </c>
      <c r="G10" s="130"/>
      <c r="H10" s="130"/>
      <c r="I10" s="130"/>
    </row>
    <row r="11" spans="2:10" ht="31.5" customHeight="1">
      <c r="F11" s="130"/>
      <c r="G11" s="130"/>
      <c r="H11" s="130"/>
      <c r="I11" s="130"/>
    </row>
    <row r="12" spans="2:10">
      <c r="B12" s="51"/>
      <c r="C12" s="51"/>
      <c r="D12" s="51"/>
      <c r="E12" s="51"/>
      <c r="F12" s="51"/>
      <c r="G12" s="51"/>
      <c r="H12" s="51"/>
      <c r="I12" s="51"/>
      <c r="J12" s="51"/>
    </row>
    <row r="13" spans="2:10">
      <c r="B13" s="51"/>
      <c r="C13" s="51"/>
      <c r="D13" s="51"/>
      <c r="E13" s="51"/>
      <c r="F13" s="51"/>
      <c r="G13" s="51"/>
      <c r="H13" s="51"/>
      <c r="I13" s="51"/>
      <c r="J13" s="51"/>
    </row>
    <row r="14" spans="2:10">
      <c r="B14" s="51"/>
      <c r="C14" s="51"/>
      <c r="D14" s="51"/>
      <c r="E14" s="51"/>
      <c r="F14" s="51"/>
      <c r="G14" s="51"/>
      <c r="H14" s="51"/>
      <c r="I14" s="51"/>
      <c r="J14" s="51"/>
    </row>
    <row r="15" spans="2:10">
      <c r="B15" s="51"/>
      <c r="C15" s="51"/>
      <c r="D15" s="51"/>
      <c r="E15" s="51"/>
      <c r="F15" s="51"/>
      <c r="G15" s="51"/>
      <c r="H15" s="51"/>
      <c r="I15" s="51"/>
      <c r="J15" s="51"/>
    </row>
    <row r="16" spans="2:10" ht="15.6">
      <c r="B16" s="52"/>
      <c r="C16" s="52"/>
      <c r="D16" s="52"/>
      <c r="E16" s="52"/>
      <c r="F16" s="52"/>
      <c r="G16" s="52"/>
      <c r="H16" s="52"/>
      <c r="I16" s="52"/>
      <c r="J16" s="52"/>
    </row>
    <row r="17" spans="2:10" ht="15.6">
      <c r="B17" s="52"/>
      <c r="C17" s="52"/>
      <c r="D17" s="52"/>
      <c r="E17" s="52"/>
      <c r="F17" s="52"/>
      <c r="G17" s="52"/>
      <c r="H17" s="52"/>
      <c r="I17" s="52"/>
      <c r="J17" s="52"/>
    </row>
    <row r="18" spans="2:10" ht="15.6">
      <c r="B18" s="52"/>
      <c r="C18" s="52"/>
      <c r="D18" s="52"/>
      <c r="E18" s="52"/>
      <c r="F18" s="52"/>
      <c r="G18" s="52"/>
      <c r="H18" s="52"/>
      <c r="I18" s="52"/>
      <c r="J18" s="52"/>
    </row>
    <row r="19" spans="2:10" ht="15.6">
      <c r="B19" s="52"/>
      <c r="C19" s="52"/>
      <c r="D19" s="52"/>
      <c r="E19" s="52"/>
      <c r="F19" s="52"/>
      <c r="G19" s="52"/>
      <c r="H19" s="52"/>
      <c r="I19" s="52"/>
      <c r="J19" s="52"/>
    </row>
    <row r="20" spans="2:10" ht="15.6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5.6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5.6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5.6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5.6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5.6">
      <c r="B25" s="52"/>
      <c r="C25" s="52"/>
      <c r="D25" s="52"/>
      <c r="E25" s="52"/>
      <c r="F25" s="52"/>
      <c r="G25" s="52"/>
      <c r="H25" s="52"/>
      <c r="I25" s="52"/>
      <c r="J25" s="52"/>
    </row>
    <row r="26" spans="2:10" ht="15.6">
      <c r="B26" s="52"/>
      <c r="C26" s="52"/>
      <c r="D26" s="52"/>
      <c r="E26" s="52"/>
      <c r="F26" s="52"/>
      <c r="G26" s="52"/>
      <c r="H26" s="52"/>
      <c r="I26" s="52"/>
      <c r="J26" s="52"/>
    </row>
    <row r="27" spans="2:10" ht="15.6">
      <c r="B27" s="52"/>
      <c r="C27" s="52"/>
      <c r="D27" s="52"/>
      <c r="E27" s="52"/>
      <c r="F27" s="52"/>
      <c r="G27" s="52"/>
      <c r="H27" s="52"/>
      <c r="I27" s="52"/>
      <c r="J27" s="52"/>
    </row>
    <row r="28" spans="2:10" ht="15.6">
      <c r="B28" s="52"/>
      <c r="C28" s="52"/>
      <c r="D28" s="52"/>
      <c r="E28" s="52"/>
      <c r="F28" s="52"/>
      <c r="G28" s="52"/>
      <c r="H28" s="52"/>
      <c r="I28" s="52"/>
      <c r="J28" s="52"/>
    </row>
    <row r="29" spans="2:10" ht="15.6">
      <c r="B29" s="52"/>
      <c r="C29" s="52"/>
      <c r="D29" s="52"/>
      <c r="E29" s="52"/>
      <c r="F29" s="52"/>
      <c r="G29" s="52"/>
      <c r="H29" s="52"/>
      <c r="I29" s="52"/>
      <c r="J29" s="52"/>
    </row>
    <row r="30" spans="2:10" ht="15.6">
      <c r="B30" s="52"/>
      <c r="C30" s="52"/>
      <c r="D30" s="52"/>
      <c r="E30" s="52"/>
      <c r="F30" s="52"/>
      <c r="G30" s="52"/>
      <c r="H30" s="52"/>
      <c r="I30" s="52"/>
      <c r="J30" s="52"/>
    </row>
    <row r="31" spans="2:10" ht="15.6">
      <c r="B31" s="52"/>
      <c r="C31" s="52"/>
      <c r="D31" s="52"/>
      <c r="E31" s="52"/>
      <c r="F31" s="52"/>
      <c r="G31" s="52"/>
      <c r="H31" s="52"/>
      <c r="I31" s="52"/>
      <c r="J31" s="52"/>
    </row>
    <row r="32" spans="2:10" ht="15.6">
      <c r="B32" s="52"/>
      <c r="C32" s="52"/>
      <c r="D32" s="52"/>
      <c r="E32" s="52"/>
      <c r="F32" s="52"/>
      <c r="G32" s="52"/>
      <c r="H32" s="52"/>
      <c r="I32" s="52"/>
      <c r="J32" s="52"/>
    </row>
    <row r="33" spans="2:10" ht="15.6">
      <c r="B33" s="52"/>
      <c r="C33" s="52"/>
      <c r="D33" s="52"/>
      <c r="E33" s="52"/>
      <c r="F33" s="52"/>
      <c r="G33" s="52"/>
      <c r="H33" s="52"/>
      <c r="I33" s="52"/>
      <c r="J33" s="52"/>
    </row>
    <row r="34" spans="2:10" ht="15.6">
      <c r="B34" s="52"/>
      <c r="C34" s="52"/>
      <c r="D34" s="52"/>
      <c r="E34" s="52"/>
      <c r="F34" s="52"/>
      <c r="G34" s="52"/>
      <c r="H34" s="52"/>
      <c r="I34" s="52"/>
      <c r="J34" s="52"/>
    </row>
  </sheetData>
  <sheetProtection algorithmName="SHA-512" hashValue="Lwt5r1BKlULS6pZ7J9oD9dFPkgf2x63f23B63PcJehB3GW6/BnRO5rZWeyiPef/REmFbRm6sNfBy0FppZt+xag==" saltValue="62J5sgnzL6QmZWsGdXJTtw==" spinCount="100000" sheet="1" objects="1" scenarios="1"/>
  <mergeCells count="13">
    <mergeCell ref="F10:I11"/>
    <mergeCell ref="B2:B3"/>
    <mergeCell ref="C2:C3"/>
    <mergeCell ref="D2:D3"/>
    <mergeCell ref="B7:B9"/>
    <mergeCell ref="C7:C9"/>
    <mergeCell ref="D7:D9"/>
    <mergeCell ref="F8:G9"/>
    <mergeCell ref="H8:H9"/>
    <mergeCell ref="I8:I9"/>
    <mergeCell ref="F2:F3"/>
    <mergeCell ref="G2:G3"/>
    <mergeCell ref="I2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2146-765E-4F61-8988-5A4BCC5F34C4}">
  <dimension ref="A1:O215"/>
  <sheetViews>
    <sheetView topLeftCell="A11" workbookViewId="0">
      <selection activeCell="G17" sqref="G17"/>
    </sheetView>
  </sheetViews>
  <sheetFormatPr defaultRowHeight="14.4"/>
  <cols>
    <col min="1" max="1" width="5.9453125" customWidth="1"/>
    <col min="2" max="2" width="28.26171875" customWidth="1"/>
    <col min="3" max="3" width="30.05078125" customWidth="1"/>
    <col min="4" max="4" width="6.89453125" customWidth="1"/>
    <col min="5" max="5" width="10.41796875" bestFit="1" customWidth="1"/>
    <col min="6" max="6" width="10.578125" customWidth="1"/>
    <col min="7" max="7" width="18.26171875" customWidth="1"/>
    <col min="11" max="13" width="8.68359375" customWidth="1"/>
    <col min="257" max="257" width="5.9453125" customWidth="1"/>
    <col min="258" max="258" width="28.26171875" customWidth="1"/>
    <col min="259" max="259" width="30.05078125" customWidth="1"/>
    <col min="260" max="260" width="6.89453125" customWidth="1"/>
    <col min="261" max="261" width="10.41796875" bestFit="1" customWidth="1"/>
    <col min="262" max="262" width="10.26171875" customWidth="1"/>
    <col min="263" max="263" width="18.26171875" customWidth="1"/>
    <col min="267" max="269" width="8.68359375" customWidth="1"/>
    <col min="513" max="513" width="5.9453125" customWidth="1"/>
    <col min="514" max="514" width="28.26171875" customWidth="1"/>
    <col min="515" max="515" width="30.05078125" customWidth="1"/>
    <col min="516" max="516" width="6.89453125" customWidth="1"/>
    <col min="517" max="517" width="10.41796875" bestFit="1" customWidth="1"/>
    <col min="518" max="518" width="10.26171875" customWidth="1"/>
    <col min="519" max="519" width="18.26171875" customWidth="1"/>
    <col min="523" max="525" width="8.68359375" customWidth="1"/>
    <col min="769" max="769" width="5.9453125" customWidth="1"/>
    <col min="770" max="770" width="28.26171875" customWidth="1"/>
    <col min="771" max="771" width="30.05078125" customWidth="1"/>
    <col min="772" max="772" width="6.89453125" customWidth="1"/>
    <col min="773" max="773" width="10.41796875" bestFit="1" customWidth="1"/>
    <col min="774" max="774" width="10.26171875" customWidth="1"/>
    <col min="775" max="775" width="18.26171875" customWidth="1"/>
    <col min="779" max="781" width="8.68359375" customWidth="1"/>
    <col min="1025" max="1025" width="5.9453125" customWidth="1"/>
    <col min="1026" max="1026" width="28.26171875" customWidth="1"/>
    <col min="1027" max="1027" width="30.05078125" customWidth="1"/>
    <col min="1028" max="1028" width="6.89453125" customWidth="1"/>
    <col min="1029" max="1029" width="10.41796875" bestFit="1" customWidth="1"/>
    <col min="1030" max="1030" width="10.26171875" customWidth="1"/>
    <col min="1031" max="1031" width="18.26171875" customWidth="1"/>
    <col min="1035" max="1037" width="8.68359375" customWidth="1"/>
    <col min="1281" max="1281" width="5.9453125" customWidth="1"/>
    <col min="1282" max="1282" width="28.26171875" customWidth="1"/>
    <col min="1283" max="1283" width="30.05078125" customWidth="1"/>
    <col min="1284" max="1284" width="6.89453125" customWidth="1"/>
    <col min="1285" max="1285" width="10.41796875" bestFit="1" customWidth="1"/>
    <col min="1286" max="1286" width="10.26171875" customWidth="1"/>
    <col min="1287" max="1287" width="18.26171875" customWidth="1"/>
    <col min="1291" max="1293" width="8.68359375" customWidth="1"/>
    <col min="1537" max="1537" width="5.9453125" customWidth="1"/>
    <col min="1538" max="1538" width="28.26171875" customWidth="1"/>
    <col min="1539" max="1539" width="30.05078125" customWidth="1"/>
    <col min="1540" max="1540" width="6.89453125" customWidth="1"/>
    <col min="1541" max="1541" width="10.41796875" bestFit="1" customWidth="1"/>
    <col min="1542" max="1542" width="10.26171875" customWidth="1"/>
    <col min="1543" max="1543" width="18.26171875" customWidth="1"/>
    <col min="1547" max="1549" width="8.68359375" customWidth="1"/>
    <col min="1793" max="1793" width="5.9453125" customWidth="1"/>
    <col min="1794" max="1794" width="28.26171875" customWidth="1"/>
    <col min="1795" max="1795" width="30.05078125" customWidth="1"/>
    <col min="1796" max="1796" width="6.89453125" customWidth="1"/>
    <col min="1797" max="1797" width="10.41796875" bestFit="1" customWidth="1"/>
    <col min="1798" max="1798" width="10.26171875" customWidth="1"/>
    <col min="1799" max="1799" width="18.26171875" customWidth="1"/>
    <col min="1803" max="1805" width="8.68359375" customWidth="1"/>
    <col min="2049" max="2049" width="5.9453125" customWidth="1"/>
    <col min="2050" max="2050" width="28.26171875" customWidth="1"/>
    <col min="2051" max="2051" width="30.05078125" customWidth="1"/>
    <col min="2052" max="2052" width="6.89453125" customWidth="1"/>
    <col min="2053" max="2053" width="10.41796875" bestFit="1" customWidth="1"/>
    <col min="2054" max="2054" width="10.26171875" customWidth="1"/>
    <col min="2055" max="2055" width="18.26171875" customWidth="1"/>
    <col min="2059" max="2061" width="8.68359375" customWidth="1"/>
    <col min="2305" max="2305" width="5.9453125" customWidth="1"/>
    <col min="2306" max="2306" width="28.26171875" customWidth="1"/>
    <col min="2307" max="2307" width="30.05078125" customWidth="1"/>
    <col min="2308" max="2308" width="6.89453125" customWidth="1"/>
    <col min="2309" max="2309" width="10.41796875" bestFit="1" customWidth="1"/>
    <col min="2310" max="2310" width="10.26171875" customWidth="1"/>
    <col min="2311" max="2311" width="18.26171875" customWidth="1"/>
    <col min="2315" max="2317" width="8.68359375" customWidth="1"/>
    <col min="2561" max="2561" width="5.9453125" customWidth="1"/>
    <col min="2562" max="2562" width="28.26171875" customWidth="1"/>
    <col min="2563" max="2563" width="30.05078125" customWidth="1"/>
    <col min="2564" max="2564" width="6.89453125" customWidth="1"/>
    <col min="2565" max="2565" width="10.41796875" bestFit="1" customWidth="1"/>
    <col min="2566" max="2566" width="10.26171875" customWidth="1"/>
    <col min="2567" max="2567" width="18.26171875" customWidth="1"/>
    <col min="2571" max="2573" width="8.68359375" customWidth="1"/>
    <col min="2817" max="2817" width="5.9453125" customWidth="1"/>
    <col min="2818" max="2818" width="28.26171875" customWidth="1"/>
    <col min="2819" max="2819" width="30.05078125" customWidth="1"/>
    <col min="2820" max="2820" width="6.89453125" customWidth="1"/>
    <col min="2821" max="2821" width="10.41796875" bestFit="1" customWidth="1"/>
    <col min="2822" max="2822" width="10.26171875" customWidth="1"/>
    <col min="2823" max="2823" width="18.26171875" customWidth="1"/>
    <col min="2827" max="2829" width="8.68359375" customWidth="1"/>
    <col min="3073" max="3073" width="5.9453125" customWidth="1"/>
    <col min="3074" max="3074" width="28.26171875" customWidth="1"/>
    <col min="3075" max="3075" width="30.05078125" customWidth="1"/>
    <col min="3076" max="3076" width="6.89453125" customWidth="1"/>
    <col min="3077" max="3077" width="10.41796875" bestFit="1" customWidth="1"/>
    <col min="3078" max="3078" width="10.26171875" customWidth="1"/>
    <col min="3079" max="3079" width="18.26171875" customWidth="1"/>
    <col min="3083" max="3085" width="8.68359375" customWidth="1"/>
    <col min="3329" max="3329" width="5.9453125" customWidth="1"/>
    <col min="3330" max="3330" width="28.26171875" customWidth="1"/>
    <col min="3331" max="3331" width="30.05078125" customWidth="1"/>
    <col min="3332" max="3332" width="6.89453125" customWidth="1"/>
    <col min="3333" max="3333" width="10.41796875" bestFit="1" customWidth="1"/>
    <col min="3334" max="3334" width="10.26171875" customWidth="1"/>
    <col min="3335" max="3335" width="18.26171875" customWidth="1"/>
    <col min="3339" max="3341" width="8.68359375" customWidth="1"/>
    <col min="3585" max="3585" width="5.9453125" customWidth="1"/>
    <col min="3586" max="3586" width="28.26171875" customWidth="1"/>
    <col min="3587" max="3587" width="30.05078125" customWidth="1"/>
    <col min="3588" max="3588" width="6.89453125" customWidth="1"/>
    <col min="3589" max="3589" width="10.41796875" bestFit="1" customWidth="1"/>
    <col min="3590" max="3590" width="10.26171875" customWidth="1"/>
    <col min="3591" max="3591" width="18.26171875" customWidth="1"/>
    <col min="3595" max="3597" width="8.68359375" customWidth="1"/>
    <col min="3841" max="3841" width="5.9453125" customWidth="1"/>
    <col min="3842" max="3842" width="28.26171875" customWidth="1"/>
    <col min="3843" max="3843" width="30.05078125" customWidth="1"/>
    <col min="3844" max="3844" width="6.89453125" customWidth="1"/>
    <col min="3845" max="3845" width="10.41796875" bestFit="1" customWidth="1"/>
    <col min="3846" max="3846" width="10.26171875" customWidth="1"/>
    <col min="3847" max="3847" width="18.26171875" customWidth="1"/>
    <col min="3851" max="3853" width="8.68359375" customWidth="1"/>
    <col min="4097" max="4097" width="5.9453125" customWidth="1"/>
    <col min="4098" max="4098" width="28.26171875" customWidth="1"/>
    <col min="4099" max="4099" width="30.05078125" customWidth="1"/>
    <col min="4100" max="4100" width="6.89453125" customWidth="1"/>
    <col min="4101" max="4101" width="10.41796875" bestFit="1" customWidth="1"/>
    <col min="4102" max="4102" width="10.26171875" customWidth="1"/>
    <col min="4103" max="4103" width="18.26171875" customWidth="1"/>
    <col min="4107" max="4109" width="8.68359375" customWidth="1"/>
    <col min="4353" max="4353" width="5.9453125" customWidth="1"/>
    <col min="4354" max="4354" width="28.26171875" customWidth="1"/>
    <col min="4355" max="4355" width="30.05078125" customWidth="1"/>
    <col min="4356" max="4356" width="6.89453125" customWidth="1"/>
    <col min="4357" max="4357" width="10.41796875" bestFit="1" customWidth="1"/>
    <col min="4358" max="4358" width="10.26171875" customWidth="1"/>
    <col min="4359" max="4359" width="18.26171875" customWidth="1"/>
    <col min="4363" max="4365" width="8.68359375" customWidth="1"/>
    <col min="4609" max="4609" width="5.9453125" customWidth="1"/>
    <col min="4610" max="4610" width="28.26171875" customWidth="1"/>
    <col min="4611" max="4611" width="30.05078125" customWidth="1"/>
    <col min="4612" max="4612" width="6.89453125" customWidth="1"/>
    <col min="4613" max="4613" width="10.41796875" bestFit="1" customWidth="1"/>
    <col min="4614" max="4614" width="10.26171875" customWidth="1"/>
    <col min="4615" max="4615" width="18.26171875" customWidth="1"/>
    <col min="4619" max="4621" width="8.68359375" customWidth="1"/>
    <col min="4865" max="4865" width="5.9453125" customWidth="1"/>
    <col min="4866" max="4866" width="28.26171875" customWidth="1"/>
    <col min="4867" max="4867" width="30.05078125" customWidth="1"/>
    <col min="4868" max="4868" width="6.89453125" customWidth="1"/>
    <col min="4869" max="4869" width="10.41796875" bestFit="1" customWidth="1"/>
    <col min="4870" max="4870" width="10.26171875" customWidth="1"/>
    <col min="4871" max="4871" width="18.26171875" customWidth="1"/>
    <col min="4875" max="4877" width="8.68359375" customWidth="1"/>
    <col min="5121" max="5121" width="5.9453125" customWidth="1"/>
    <col min="5122" max="5122" width="28.26171875" customWidth="1"/>
    <col min="5123" max="5123" width="30.05078125" customWidth="1"/>
    <col min="5124" max="5124" width="6.89453125" customWidth="1"/>
    <col min="5125" max="5125" width="10.41796875" bestFit="1" customWidth="1"/>
    <col min="5126" max="5126" width="10.26171875" customWidth="1"/>
    <col min="5127" max="5127" width="18.26171875" customWidth="1"/>
    <col min="5131" max="5133" width="8.68359375" customWidth="1"/>
    <col min="5377" max="5377" width="5.9453125" customWidth="1"/>
    <col min="5378" max="5378" width="28.26171875" customWidth="1"/>
    <col min="5379" max="5379" width="30.05078125" customWidth="1"/>
    <col min="5380" max="5380" width="6.89453125" customWidth="1"/>
    <col min="5381" max="5381" width="10.41796875" bestFit="1" customWidth="1"/>
    <col min="5382" max="5382" width="10.26171875" customWidth="1"/>
    <col min="5383" max="5383" width="18.26171875" customWidth="1"/>
    <col min="5387" max="5389" width="8.68359375" customWidth="1"/>
    <col min="5633" max="5633" width="5.9453125" customWidth="1"/>
    <col min="5634" max="5634" width="28.26171875" customWidth="1"/>
    <col min="5635" max="5635" width="30.05078125" customWidth="1"/>
    <col min="5636" max="5636" width="6.89453125" customWidth="1"/>
    <col min="5637" max="5637" width="10.41796875" bestFit="1" customWidth="1"/>
    <col min="5638" max="5638" width="10.26171875" customWidth="1"/>
    <col min="5639" max="5639" width="18.26171875" customWidth="1"/>
    <col min="5643" max="5645" width="8.68359375" customWidth="1"/>
    <col min="5889" max="5889" width="5.9453125" customWidth="1"/>
    <col min="5890" max="5890" width="28.26171875" customWidth="1"/>
    <col min="5891" max="5891" width="30.05078125" customWidth="1"/>
    <col min="5892" max="5892" width="6.89453125" customWidth="1"/>
    <col min="5893" max="5893" width="10.41796875" bestFit="1" customWidth="1"/>
    <col min="5894" max="5894" width="10.26171875" customWidth="1"/>
    <col min="5895" max="5895" width="18.26171875" customWidth="1"/>
    <col min="5899" max="5901" width="8.68359375" customWidth="1"/>
    <col min="6145" max="6145" width="5.9453125" customWidth="1"/>
    <col min="6146" max="6146" width="28.26171875" customWidth="1"/>
    <col min="6147" max="6147" width="30.05078125" customWidth="1"/>
    <col min="6148" max="6148" width="6.89453125" customWidth="1"/>
    <col min="6149" max="6149" width="10.41796875" bestFit="1" customWidth="1"/>
    <col min="6150" max="6150" width="10.26171875" customWidth="1"/>
    <col min="6151" max="6151" width="18.26171875" customWidth="1"/>
    <col min="6155" max="6157" width="8.68359375" customWidth="1"/>
    <col min="6401" max="6401" width="5.9453125" customWidth="1"/>
    <col min="6402" max="6402" width="28.26171875" customWidth="1"/>
    <col min="6403" max="6403" width="30.05078125" customWidth="1"/>
    <col min="6404" max="6404" width="6.89453125" customWidth="1"/>
    <col min="6405" max="6405" width="10.41796875" bestFit="1" customWidth="1"/>
    <col min="6406" max="6406" width="10.26171875" customWidth="1"/>
    <col min="6407" max="6407" width="18.26171875" customWidth="1"/>
    <col min="6411" max="6413" width="8.68359375" customWidth="1"/>
    <col min="6657" max="6657" width="5.9453125" customWidth="1"/>
    <col min="6658" max="6658" width="28.26171875" customWidth="1"/>
    <col min="6659" max="6659" width="30.05078125" customWidth="1"/>
    <col min="6660" max="6660" width="6.89453125" customWidth="1"/>
    <col min="6661" max="6661" width="10.41796875" bestFit="1" customWidth="1"/>
    <col min="6662" max="6662" width="10.26171875" customWidth="1"/>
    <col min="6663" max="6663" width="18.26171875" customWidth="1"/>
    <col min="6667" max="6669" width="8.68359375" customWidth="1"/>
    <col min="6913" max="6913" width="5.9453125" customWidth="1"/>
    <col min="6914" max="6914" width="28.26171875" customWidth="1"/>
    <col min="6915" max="6915" width="30.05078125" customWidth="1"/>
    <col min="6916" max="6916" width="6.89453125" customWidth="1"/>
    <col min="6917" max="6917" width="10.41796875" bestFit="1" customWidth="1"/>
    <col min="6918" max="6918" width="10.26171875" customWidth="1"/>
    <col min="6919" max="6919" width="18.26171875" customWidth="1"/>
    <col min="6923" max="6925" width="8.68359375" customWidth="1"/>
    <col min="7169" max="7169" width="5.9453125" customWidth="1"/>
    <col min="7170" max="7170" width="28.26171875" customWidth="1"/>
    <col min="7171" max="7171" width="30.05078125" customWidth="1"/>
    <col min="7172" max="7172" width="6.89453125" customWidth="1"/>
    <col min="7173" max="7173" width="10.41796875" bestFit="1" customWidth="1"/>
    <col min="7174" max="7174" width="10.26171875" customWidth="1"/>
    <col min="7175" max="7175" width="18.26171875" customWidth="1"/>
    <col min="7179" max="7181" width="8.68359375" customWidth="1"/>
    <col min="7425" max="7425" width="5.9453125" customWidth="1"/>
    <col min="7426" max="7426" width="28.26171875" customWidth="1"/>
    <col min="7427" max="7427" width="30.05078125" customWidth="1"/>
    <col min="7428" max="7428" width="6.89453125" customWidth="1"/>
    <col min="7429" max="7429" width="10.41796875" bestFit="1" customWidth="1"/>
    <col min="7430" max="7430" width="10.26171875" customWidth="1"/>
    <col min="7431" max="7431" width="18.26171875" customWidth="1"/>
    <col min="7435" max="7437" width="8.68359375" customWidth="1"/>
    <col min="7681" max="7681" width="5.9453125" customWidth="1"/>
    <col min="7682" max="7682" width="28.26171875" customWidth="1"/>
    <col min="7683" max="7683" width="30.05078125" customWidth="1"/>
    <col min="7684" max="7684" width="6.89453125" customWidth="1"/>
    <col min="7685" max="7685" width="10.41796875" bestFit="1" customWidth="1"/>
    <col min="7686" max="7686" width="10.26171875" customWidth="1"/>
    <col min="7687" max="7687" width="18.26171875" customWidth="1"/>
    <col min="7691" max="7693" width="8.68359375" customWidth="1"/>
    <col min="7937" max="7937" width="5.9453125" customWidth="1"/>
    <col min="7938" max="7938" width="28.26171875" customWidth="1"/>
    <col min="7939" max="7939" width="30.05078125" customWidth="1"/>
    <col min="7940" max="7940" width="6.89453125" customWidth="1"/>
    <col min="7941" max="7941" width="10.41796875" bestFit="1" customWidth="1"/>
    <col min="7942" max="7942" width="10.26171875" customWidth="1"/>
    <col min="7943" max="7943" width="18.26171875" customWidth="1"/>
    <col min="7947" max="7949" width="8.68359375" customWidth="1"/>
    <col min="8193" max="8193" width="5.9453125" customWidth="1"/>
    <col min="8194" max="8194" width="28.26171875" customWidth="1"/>
    <col min="8195" max="8195" width="30.05078125" customWidth="1"/>
    <col min="8196" max="8196" width="6.89453125" customWidth="1"/>
    <col min="8197" max="8197" width="10.41796875" bestFit="1" customWidth="1"/>
    <col min="8198" max="8198" width="10.26171875" customWidth="1"/>
    <col min="8199" max="8199" width="18.26171875" customWidth="1"/>
    <col min="8203" max="8205" width="8.68359375" customWidth="1"/>
    <col min="8449" max="8449" width="5.9453125" customWidth="1"/>
    <col min="8450" max="8450" width="28.26171875" customWidth="1"/>
    <col min="8451" max="8451" width="30.05078125" customWidth="1"/>
    <col min="8452" max="8452" width="6.89453125" customWidth="1"/>
    <col min="8453" max="8453" width="10.41796875" bestFit="1" customWidth="1"/>
    <col min="8454" max="8454" width="10.26171875" customWidth="1"/>
    <col min="8455" max="8455" width="18.26171875" customWidth="1"/>
    <col min="8459" max="8461" width="8.68359375" customWidth="1"/>
    <col min="8705" max="8705" width="5.9453125" customWidth="1"/>
    <col min="8706" max="8706" width="28.26171875" customWidth="1"/>
    <col min="8707" max="8707" width="30.05078125" customWidth="1"/>
    <col min="8708" max="8708" width="6.89453125" customWidth="1"/>
    <col min="8709" max="8709" width="10.41796875" bestFit="1" customWidth="1"/>
    <col min="8710" max="8710" width="10.26171875" customWidth="1"/>
    <col min="8711" max="8711" width="18.26171875" customWidth="1"/>
    <col min="8715" max="8717" width="8.68359375" customWidth="1"/>
    <col min="8961" max="8961" width="5.9453125" customWidth="1"/>
    <col min="8962" max="8962" width="28.26171875" customWidth="1"/>
    <col min="8963" max="8963" width="30.05078125" customWidth="1"/>
    <col min="8964" max="8964" width="6.89453125" customWidth="1"/>
    <col min="8965" max="8965" width="10.41796875" bestFit="1" customWidth="1"/>
    <col min="8966" max="8966" width="10.26171875" customWidth="1"/>
    <col min="8967" max="8967" width="18.26171875" customWidth="1"/>
    <col min="8971" max="8973" width="8.68359375" customWidth="1"/>
    <col min="9217" max="9217" width="5.9453125" customWidth="1"/>
    <col min="9218" max="9218" width="28.26171875" customWidth="1"/>
    <col min="9219" max="9219" width="30.05078125" customWidth="1"/>
    <col min="9220" max="9220" width="6.89453125" customWidth="1"/>
    <col min="9221" max="9221" width="10.41796875" bestFit="1" customWidth="1"/>
    <col min="9222" max="9222" width="10.26171875" customWidth="1"/>
    <col min="9223" max="9223" width="18.26171875" customWidth="1"/>
    <col min="9227" max="9229" width="8.68359375" customWidth="1"/>
    <col min="9473" max="9473" width="5.9453125" customWidth="1"/>
    <col min="9474" max="9474" width="28.26171875" customWidth="1"/>
    <col min="9475" max="9475" width="30.05078125" customWidth="1"/>
    <col min="9476" max="9476" width="6.89453125" customWidth="1"/>
    <col min="9477" max="9477" width="10.41796875" bestFit="1" customWidth="1"/>
    <col min="9478" max="9478" width="10.26171875" customWidth="1"/>
    <col min="9479" max="9479" width="18.26171875" customWidth="1"/>
    <col min="9483" max="9485" width="8.68359375" customWidth="1"/>
    <col min="9729" max="9729" width="5.9453125" customWidth="1"/>
    <col min="9730" max="9730" width="28.26171875" customWidth="1"/>
    <col min="9731" max="9731" width="30.05078125" customWidth="1"/>
    <col min="9732" max="9732" width="6.89453125" customWidth="1"/>
    <col min="9733" max="9733" width="10.41796875" bestFit="1" customWidth="1"/>
    <col min="9734" max="9734" width="10.26171875" customWidth="1"/>
    <col min="9735" max="9735" width="18.26171875" customWidth="1"/>
    <col min="9739" max="9741" width="8.68359375" customWidth="1"/>
    <col min="9985" max="9985" width="5.9453125" customWidth="1"/>
    <col min="9986" max="9986" width="28.26171875" customWidth="1"/>
    <col min="9987" max="9987" width="30.05078125" customWidth="1"/>
    <col min="9988" max="9988" width="6.89453125" customWidth="1"/>
    <col min="9989" max="9989" width="10.41796875" bestFit="1" customWidth="1"/>
    <col min="9990" max="9990" width="10.26171875" customWidth="1"/>
    <col min="9991" max="9991" width="18.26171875" customWidth="1"/>
    <col min="9995" max="9997" width="8.68359375" customWidth="1"/>
    <col min="10241" max="10241" width="5.9453125" customWidth="1"/>
    <col min="10242" max="10242" width="28.26171875" customWidth="1"/>
    <col min="10243" max="10243" width="30.05078125" customWidth="1"/>
    <col min="10244" max="10244" width="6.89453125" customWidth="1"/>
    <col min="10245" max="10245" width="10.41796875" bestFit="1" customWidth="1"/>
    <col min="10246" max="10246" width="10.26171875" customWidth="1"/>
    <col min="10247" max="10247" width="18.26171875" customWidth="1"/>
    <col min="10251" max="10253" width="8.68359375" customWidth="1"/>
    <col min="10497" max="10497" width="5.9453125" customWidth="1"/>
    <col min="10498" max="10498" width="28.26171875" customWidth="1"/>
    <col min="10499" max="10499" width="30.05078125" customWidth="1"/>
    <col min="10500" max="10500" width="6.89453125" customWidth="1"/>
    <col min="10501" max="10501" width="10.41796875" bestFit="1" customWidth="1"/>
    <col min="10502" max="10502" width="10.26171875" customWidth="1"/>
    <col min="10503" max="10503" width="18.26171875" customWidth="1"/>
    <col min="10507" max="10509" width="8.68359375" customWidth="1"/>
    <col min="10753" max="10753" width="5.9453125" customWidth="1"/>
    <col min="10754" max="10754" width="28.26171875" customWidth="1"/>
    <col min="10755" max="10755" width="30.05078125" customWidth="1"/>
    <col min="10756" max="10756" width="6.89453125" customWidth="1"/>
    <col min="10757" max="10757" width="10.41796875" bestFit="1" customWidth="1"/>
    <col min="10758" max="10758" width="10.26171875" customWidth="1"/>
    <col min="10759" max="10759" width="18.26171875" customWidth="1"/>
    <col min="10763" max="10765" width="8.68359375" customWidth="1"/>
    <col min="11009" max="11009" width="5.9453125" customWidth="1"/>
    <col min="11010" max="11010" width="28.26171875" customWidth="1"/>
    <col min="11011" max="11011" width="30.05078125" customWidth="1"/>
    <col min="11012" max="11012" width="6.89453125" customWidth="1"/>
    <col min="11013" max="11013" width="10.41796875" bestFit="1" customWidth="1"/>
    <col min="11014" max="11014" width="10.26171875" customWidth="1"/>
    <col min="11015" max="11015" width="18.26171875" customWidth="1"/>
    <col min="11019" max="11021" width="8.68359375" customWidth="1"/>
    <col min="11265" max="11265" width="5.9453125" customWidth="1"/>
    <col min="11266" max="11266" width="28.26171875" customWidth="1"/>
    <col min="11267" max="11267" width="30.05078125" customWidth="1"/>
    <col min="11268" max="11268" width="6.89453125" customWidth="1"/>
    <col min="11269" max="11269" width="10.41796875" bestFit="1" customWidth="1"/>
    <col min="11270" max="11270" width="10.26171875" customWidth="1"/>
    <col min="11271" max="11271" width="18.26171875" customWidth="1"/>
    <col min="11275" max="11277" width="8.68359375" customWidth="1"/>
    <col min="11521" max="11521" width="5.9453125" customWidth="1"/>
    <col min="11522" max="11522" width="28.26171875" customWidth="1"/>
    <col min="11523" max="11523" width="30.05078125" customWidth="1"/>
    <col min="11524" max="11524" width="6.89453125" customWidth="1"/>
    <col min="11525" max="11525" width="10.41796875" bestFit="1" customWidth="1"/>
    <col min="11526" max="11526" width="10.26171875" customWidth="1"/>
    <col min="11527" max="11527" width="18.26171875" customWidth="1"/>
    <col min="11531" max="11533" width="8.68359375" customWidth="1"/>
    <col min="11777" max="11777" width="5.9453125" customWidth="1"/>
    <col min="11778" max="11778" width="28.26171875" customWidth="1"/>
    <col min="11779" max="11779" width="30.05078125" customWidth="1"/>
    <col min="11780" max="11780" width="6.89453125" customWidth="1"/>
    <col min="11781" max="11781" width="10.41796875" bestFit="1" customWidth="1"/>
    <col min="11782" max="11782" width="10.26171875" customWidth="1"/>
    <col min="11783" max="11783" width="18.26171875" customWidth="1"/>
    <col min="11787" max="11789" width="8.68359375" customWidth="1"/>
    <col min="12033" max="12033" width="5.9453125" customWidth="1"/>
    <col min="12034" max="12034" width="28.26171875" customWidth="1"/>
    <col min="12035" max="12035" width="30.05078125" customWidth="1"/>
    <col min="12036" max="12036" width="6.89453125" customWidth="1"/>
    <col min="12037" max="12037" width="10.41796875" bestFit="1" customWidth="1"/>
    <col min="12038" max="12038" width="10.26171875" customWidth="1"/>
    <col min="12039" max="12039" width="18.26171875" customWidth="1"/>
    <col min="12043" max="12045" width="8.68359375" customWidth="1"/>
    <col min="12289" max="12289" width="5.9453125" customWidth="1"/>
    <col min="12290" max="12290" width="28.26171875" customWidth="1"/>
    <col min="12291" max="12291" width="30.05078125" customWidth="1"/>
    <col min="12292" max="12292" width="6.89453125" customWidth="1"/>
    <col min="12293" max="12293" width="10.41796875" bestFit="1" customWidth="1"/>
    <col min="12294" max="12294" width="10.26171875" customWidth="1"/>
    <col min="12295" max="12295" width="18.26171875" customWidth="1"/>
    <col min="12299" max="12301" width="8.68359375" customWidth="1"/>
    <col min="12545" max="12545" width="5.9453125" customWidth="1"/>
    <col min="12546" max="12546" width="28.26171875" customWidth="1"/>
    <col min="12547" max="12547" width="30.05078125" customWidth="1"/>
    <col min="12548" max="12548" width="6.89453125" customWidth="1"/>
    <col min="12549" max="12549" width="10.41796875" bestFit="1" customWidth="1"/>
    <col min="12550" max="12550" width="10.26171875" customWidth="1"/>
    <col min="12551" max="12551" width="18.26171875" customWidth="1"/>
    <col min="12555" max="12557" width="8.68359375" customWidth="1"/>
    <col min="12801" max="12801" width="5.9453125" customWidth="1"/>
    <col min="12802" max="12802" width="28.26171875" customWidth="1"/>
    <col min="12803" max="12803" width="30.05078125" customWidth="1"/>
    <col min="12804" max="12804" width="6.89453125" customWidth="1"/>
    <col min="12805" max="12805" width="10.41796875" bestFit="1" customWidth="1"/>
    <col min="12806" max="12806" width="10.26171875" customWidth="1"/>
    <col min="12807" max="12807" width="18.26171875" customWidth="1"/>
    <col min="12811" max="12813" width="8.68359375" customWidth="1"/>
    <col min="13057" max="13057" width="5.9453125" customWidth="1"/>
    <col min="13058" max="13058" width="28.26171875" customWidth="1"/>
    <col min="13059" max="13059" width="30.05078125" customWidth="1"/>
    <col min="13060" max="13060" width="6.89453125" customWidth="1"/>
    <col min="13061" max="13061" width="10.41796875" bestFit="1" customWidth="1"/>
    <col min="13062" max="13062" width="10.26171875" customWidth="1"/>
    <col min="13063" max="13063" width="18.26171875" customWidth="1"/>
    <col min="13067" max="13069" width="8.68359375" customWidth="1"/>
    <col min="13313" max="13313" width="5.9453125" customWidth="1"/>
    <col min="13314" max="13314" width="28.26171875" customWidth="1"/>
    <col min="13315" max="13315" width="30.05078125" customWidth="1"/>
    <col min="13316" max="13316" width="6.89453125" customWidth="1"/>
    <col min="13317" max="13317" width="10.41796875" bestFit="1" customWidth="1"/>
    <col min="13318" max="13318" width="10.26171875" customWidth="1"/>
    <col min="13319" max="13319" width="18.26171875" customWidth="1"/>
    <col min="13323" max="13325" width="8.68359375" customWidth="1"/>
    <col min="13569" max="13569" width="5.9453125" customWidth="1"/>
    <col min="13570" max="13570" width="28.26171875" customWidth="1"/>
    <col min="13571" max="13571" width="30.05078125" customWidth="1"/>
    <col min="13572" max="13572" width="6.89453125" customWidth="1"/>
    <col min="13573" max="13573" width="10.41796875" bestFit="1" customWidth="1"/>
    <col min="13574" max="13574" width="10.26171875" customWidth="1"/>
    <col min="13575" max="13575" width="18.26171875" customWidth="1"/>
    <col min="13579" max="13581" width="8.68359375" customWidth="1"/>
    <col min="13825" max="13825" width="5.9453125" customWidth="1"/>
    <col min="13826" max="13826" width="28.26171875" customWidth="1"/>
    <col min="13827" max="13827" width="30.05078125" customWidth="1"/>
    <col min="13828" max="13828" width="6.89453125" customWidth="1"/>
    <col min="13829" max="13829" width="10.41796875" bestFit="1" customWidth="1"/>
    <col min="13830" max="13830" width="10.26171875" customWidth="1"/>
    <col min="13831" max="13831" width="18.26171875" customWidth="1"/>
    <col min="13835" max="13837" width="8.68359375" customWidth="1"/>
    <col min="14081" max="14081" width="5.9453125" customWidth="1"/>
    <col min="14082" max="14082" width="28.26171875" customWidth="1"/>
    <col min="14083" max="14083" width="30.05078125" customWidth="1"/>
    <col min="14084" max="14084" width="6.89453125" customWidth="1"/>
    <col min="14085" max="14085" width="10.41796875" bestFit="1" customWidth="1"/>
    <col min="14086" max="14086" width="10.26171875" customWidth="1"/>
    <col min="14087" max="14087" width="18.26171875" customWidth="1"/>
    <col min="14091" max="14093" width="8.68359375" customWidth="1"/>
    <col min="14337" max="14337" width="5.9453125" customWidth="1"/>
    <col min="14338" max="14338" width="28.26171875" customWidth="1"/>
    <col min="14339" max="14339" width="30.05078125" customWidth="1"/>
    <col min="14340" max="14340" width="6.89453125" customWidth="1"/>
    <col min="14341" max="14341" width="10.41796875" bestFit="1" customWidth="1"/>
    <col min="14342" max="14342" width="10.26171875" customWidth="1"/>
    <col min="14343" max="14343" width="18.26171875" customWidth="1"/>
    <col min="14347" max="14349" width="8.68359375" customWidth="1"/>
    <col min="14593" max="14593" width="5.9453125" customWidth="1"/>
    <col min="14594" max="14594" width="28.26171875" customWidth="1"/>
    <col min="14595" max="14595" width="30.05078125" customWidth="1"/>
    <col min="14596" max="14596" width="6.89453125" customWidth="1"/>
    <col min="14597" max="14597" width="10.41796875" bestFit="1" customWidth="1"/>
    <col min="14598" max="14598" width="10.26171875" customWidth="1"/>
    <col min="14599" max="14599" width="18.26171875" customWidth="1"/>
    <col min="14603" max="14605" width="8.68359375" customWidth="1"/>
    <col min="14849" max="14849" width="5.9453125" customWidth="1"/>
    <col min="14850" max="14850" width="28.26171875" customWidth="1"/>
    <col min="14851" max="14851" width="30.05078125" customWidth="1"/>
    <col min="14852" max="14852" width="6.89453125" customWidth="1"/>
    <col min="14853" max="14853" width="10.41796875" bestFit="1" customWidth="1"/>
    <col min="14854" max="14854" width="10.26171875" customWidth="1"/>
    <col min="14855" max="14855" width="18.26171875" customWidth="1"/>
    <col min="14859" max="14861" width="8.68359375" customWidth="1"/>
    <col min="15105" max="15105" width="5.9453125" customWidth="1"/>
    <col min="15106" max="15106" width="28.26171875" customWidth="1"/>
    <col min="15107" max="15107" width="30.05078125" customWidth="1"/>
    <col min="15108" max="15108" width="6.89453125" customWidth="1"/>
    <col min="15109" max="15109" width="10.41796875" bestFit="1" customWidth="1"/>
    <col min="15110" max="15110" width="10.26171875" customWidth="1"/>
    <col min="15111" max="15111" width="18.26171875" customWidth="1"/>
    <col min="15115" max="15117" width="8.68359375" customWidth="1"/>
    <col min="15361" max="15361" width="5.9453125" customWidth="1"/>
    <col min="15362" max="15362" width="28.26171875" customWidth="1"/>
    <col min="15363" max="15363" width="30.05078125" customWidth="1"/>
    <col min="15364" max="15364" width="6.89453125" customWidth="1"/>
    <col min="15365" max="15365" width="10.41796875" bestFit="1" customWidth="1"/>
    <col min="15366" max="15366" width="10.26171875" customWidth="1"/>
    <col min="15367" max="15367" width="18.26171875" customWidth="1"/>
    <col min="15371" max="15373" width="8.68359375" customWidth="1"/>
    <col min="15617" max="15617" width="5.9453125" customWidth="1"/>
    <col min="15618" max="15618" width="28.26171875" customWidth="1"/>
    <col min="15619" max="15619" width="30.05078125" customWidth="1"/>
    <col min="15620" max="15620" width="6.89453125" customWidth="1"/>
    <col min="15621" max="15621" width="10.41796875" bestFit="1" customWidth="1"/>
    <col min="15622" max="15622" width="10.26171875" customWidth="1"/>
    <col min="15623" max="15623" width="18.26171875" customWidth="1"/>
    <col min="15627" max="15629" width="8.68359375" customWidth="1"/>
    <col min="15873" max="15873" width="5.9453125" customWidth="1"/>
    <col min="15874" max="15874" width="28.26171875" customWidth="1"/>
    <col min="15875" max="15875" width="30.05078125" customWidth="1"/>
    <col min="15876" max="15876" width="6.89453125" customWidth="1"/>
    <col min="15877" max="15877" width="10.41796875" bestFit="1" customWidth="1"/>
    <col min="15878" max="15878" width="10.26171875" customWidth="1"/>
    <col min="15879" max="15879" width="18.26171875" customWidth="1"/>
    <col min="15883" max="15885" width="8.68359375" customWidth="1"/>
    <col min="16129" max="16129" width="5.9453125" customWidth="1"/>
    <col min="16130" max="16130" width="28.26171875" customWidth="1"/>
    <col min="16131" max="16131" width="30.05078125" customWidth="1"/>
    <col min="16132" max="16132" width="6.89453125" customWidth="1"/>
    <col min="16133" max="16133" width="10.41796875" bestFit="1" customWidth="1"/>
    <col min="16134" max="16134" width="10.26171875" customWidth="1"/>
    <col min="16135" max="16135" width="18.26171875" customWidth="1"/>
    <col min="16139" max="16141" width="8.68359375" customWidth="1"/>
  </cols>
  <sheetData>
    <row r="1" spans="1:15" ht="27" customHeight="1">
      <c r="B1" s="4" t="s">
        <v>0</v>
      </c>
    </row>
    <row r="2" spans="1:15">
      <c r="B2" s="5" t="s">
        <v>1</v>
      </c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6"/>
      <c r="N2" s="7"/>
      <c r="O2" s="85"/>
    </row>
    <row r="3" spans="1:15">
      <c r="B3" s="5" t="s">
        <v>3</v>
      </c>
      <c r="C3" s="5"/>
      <c r="D3" s="5"/>
      <c r="E3" s="5" t="s">
        <v>4</v>
      </c>
      <c r="F3" s="5"/>
      <c r="G3" s="5"/>
      <c r="H3" s="5"/>
      <c r="I3" s="5"/>
      <c r="J3" s="5"/>
      <c r="K3" s="5"/>
      <c r="L3" s="5"/>
      <c r="M3" s="9"/>
      <c r="N3" s="7"/>
      <c r="O3" s="85"/>
    </row>
    <row r="4" spans="1:15">
      <c r="B4" s="5" t="s">
        <v>5</v>
      </c>
      <c r="C4" s="5"/>
      <c r="D4" s="5"/>
      <c r="E4" s="5" t="s">
        <v>6</v>
      </c>
      <c r="F4" s="5"/>
      <c r="G4" s="5"/>
      <c r="H4" s="5"/>
      <c r="I4" s="5"/>
      <c r="J4" s="5"/>
      <c r="K4" s="5"/>
      <c r="L4" s="5"/>
      <c r="M4" s="6"/>
      <c r="N4" s="7"/>
      <c r="O4" s="85"/>
    </row>
    <row r="5" spans="1:15">
      <c r="B5" s="5" t="s">
        <v>7</v>
      </c>
      <c r="C5" s="5"/>
      <c r="D5" s="5"/>
      <c r="E5" s="10">
        <v>2024</v>
      </c>
      <c r="F5" s="5"/>
      <c r="G5" s="5"/>
      <c r="H5" s="5"/>
      <c r="I5" s="5"/>
      <c r="J5" s="5"/>
      <c r="K5" s="5"/>
      <c r="L5" s="5"/>
      <c r="M5" s="6"/>
      <c r="N5" s="7"/>
      <c r="O5" s="85"/>
    </row>
    <row r="6" spans="1:15" ht="15.3" thickBot="1">
      <c r="A6" s="11"/>
      <c r="B6" s="12"/>
    </row>
    <row r="7" spans="1:15" ht="18.3" thickTop="1" thickBot="1">
      <c r="A7" s="13"/>
      <c r="B7" s="11"/>
      <c r="C7" s="11"/>
      <c r="D7" s="14"/>
      <c r="E7" s="15" t="s">
        <v>8</v>
      </c>
      <c r="F7" s="54" t="s">
        <v>9</v>
      </c>
      <c r="G7" s="54" t="s">
        <v>10</v>
      </c>
    </row>
    <row r="8" spans="1:15" ht="14.7" thickTop="1">
      <c r="A8" s="158" t="s">
        <v>11</v>
      </c>
      <c r="B8" s="160" t="s">
        <v>12</v>
      </c>
      <c r="C8" s="16" t="s">
        <v>13</v>
      </c>
      <c r="D8" s="162" t="s">
        <v>14</v>
      </c>
      <c r="E8" s="158"/>
      <c r="F8" s="156"/>
      <c r="G8" s="156"/>
    </row>
    <row r="9" spans="1:15" ht="14.7" thickBot="1">
      <c r="A9" s="159"/>
      <c r="B9" s="161"/>
      <c r="C9" s="17" t="s">
        <v>15</v>
      </c>
      <c r="D9" s="163"/>
      <c r="E9" s="159"/>
      <c r="F9" s="157"/>
      <c r="G9" s="157"/>
    </row>
    <row r="10" spans="1:15">
      <c r="A10" s="18"/>
      <c r="B10" s="19"/>
      <c r="C10" s="20"/>
      <c r="D10" s="19"/>
      <c r="E10" s="19"/>
      <c r="F10" s="55"/>
      <c r="G10" s="73"/>
    </row>
    <row r="11" spans="1:15">
      <c r="A11" s="21" t="s">
        <v>16</v>
      </c>
      <c r="B11" s="22" t="s">
        <v>17</v>
      </c>
      <c r="C11" s="2"/>
      <c r="D11" s="3"/>
      <c r="E11" s="3"/>
      <c r="F11" s="56"/>
      <c r="G11" s="74"/>
    </row>
    <row r="12" spans="1:15">
      <c r="A12" s="1">
        <v>1</v>
      </c>
      <c r="B12" s="2" t="s">
        <v>18</v>
      </c>
      <c r="C12" s="2"/>
      <c r="D12" s="3" t="s">
        <v>19</v>
      </c>
      <c r="E12" s="59">
        <v>1</v>
      </c>
      <c r="F12" s="75"/>
      <c r="G12" s="76">
        <f t="shared" ref="G12:G20" si="0">E12*F12</f>
        <v>0</v>
      </c>
    </row>
    <row r="13" spans="1:15">
      <c r="A13" s="1">
        <v>2</v>
      </c>
      <c r="B13" s="24" t="s">
        <v>20</v>
      </c>
      <c r="C13" s="2" t="s">
        <v>21</v>
      </c>
      <c r="D13" s="3" t="s">
        <v>22</v>
      </c>
      <c r="E13" s="59">
        <v>6</v>
      </c>
      <c r="F13" s="75"/>
      <c r="G13" s="76">
        <f t="shared" si="0"/>
        <v>0</v>
      </c>
    </row>
    <row r="14" spans="1:15">
      <c r="A14" s="1">
        <v>3</v>
      </c>
      <c r="B14" s="60" t="s">
        <v>23</v>
      </c>
      <c r="C14" s="2" t="s">
        <v>24</v>
      </c>
      <c r="D14" s="3" t="s">
        <v>25</v>
      </c>
      <c r="E14" s="59">
        <v>58</v>
      </c>
      <c r="F14" s="75"/>
      <c r="G14" s="76">
        <f t="shared" si="0"/>
        <v>0</v>
      </c>
    </row>
    <row r="15" spans="1:15">
      <c r="A15" s="1">
        <v>4</v>
      </c>
      <c r="B15" s="60" t="s">
        <v>26</v>
      </c>
      <c r="C15" s="2" t="s">
        <v>24</v>
      </c>
      <c r="D15" s="3" t="s">
        <v>25</v>
      </c>
      <c r="E15" s="59">
        <v>48</v>
      </c>
      <c r="F15" s="75"/>
      <c r="G15" s="76">
        <f t="shared" si="0"/>
        <v>0</v>
      </c>
    </row>
    <row r="16" spans="1:15">
      <c r="A16" s="1">
        <v>5</v>
      </c>
      <c r="B16" s="60" t="s">
        <v>27</v>
      </c>
      <c r="C16" s="2" t="s">
        <v>24</v>
      </c>
      <c r="D16" s="3" t="s">
        <v>25</v>
      </c>
      <c r="E16" s="59">
        <v>44</v>
      </c>
      <c r="F16" s="75"/>
      <c r="G16" s="76">
        <f t="shared" si="0"/>
        <v>0</v>
      </c>
    </row>
    <row r="17" spans="1:7">
      <c r="A17" s="1">
        <v>6</v>
      </c>
      <c r="B17" s="60" t="s">
        <v>28</v>
      </c>
      <c r="C17" s="2" t="s">
        <v>24</v>
      </c>
      <c r="D17" s="3" t="s">
        <v>25</v>
      </c>
      <c r="E17" s="59">
        <v>400</v>
      </c>
      <c r="F17" s="75"/>
      <c r="G17" s="76">
        <f t="shared" si="0"/>
        <v>0</v>
      </c>
    </row>
    <row r="18" spans="1:7">
      <c r="A18" s="1">
        <v>7</v>
      </c>
      <c r="B18" s="60" t="s">
        <v>29</v>
      </c>
      <c r="C18" s="2" t="s">
        <v>24</v>
      </c>
      <c r="D18" s="3" t="s">
        <v>25</v>
      </c>
      <c r="E18" s="59">
        <v>400</v>
      </c>
      <c r="F18" s="75"/>
      <c r="G18" s="76">
        <f t="shared" si="0"/>
        <v>0</v>
      </c>
    </row>
    <row r="19" spans="1:7">
      <c r="A19" s="1">
        <v>8</v>
      </c>
      <c r="B19" s="60" t="s">
        <v>30</v>
      </c>
      <c r="C19" s="2" t="s">
        <v>24</v>
      </c>
      <c r="D19" s="3" t="s">
        <v>25</v>
      </c>
      <c r="E19" s="59">
        <f>4*3.5</f>
        <v>14</v>
      </c>
      <c r="F19" s="75"/>
      <c r="G19" s="76">
        <f t="shared" si="0"/>
        <v>0</v>
      </c>
    </row>
    <row r="20" spans="1:7">
      <c r="A20" s="1">
        <v>9</v>
      </c>
      <c r="B20" s="61" t="s">
        <v>31</v>
      </c>
      <c r="C20" s="2" t="s">
        <v>24</v>
      </c>
      <c r="D20" s="3" t="s">
        <v>19</v>
      </c>
      <c r="E20" s="59">
        <v>15</v>
      </c>
      <c r="F20" s="75"/>
      <c r="G20" s="76">
        <f t="shared" si="0"/>
        <v>0</v>
      </c>
    </row>
    <row r="21" spans="1:7">
      <c r="A21" s="1"/>
      <c r="B21" s="2"/>
      <c r="C21" s="25" t="s">
        <v>32</v>
      </c>
      <c r="D21" s="3"/>
      <c r="E21" s="59"/>
      <c r="F21" s="56"/>
      <c r="G21" s="77">
        <f>SUM(G12:G20)</f>
        <v>0</v>
      </c>
    </row>
    <row r="22" spans="1:7">
      <c r="A22" s="21" t="s">
        <v>33</v>
      </c>
      <c r="B22" s="22" t="s">
        <v>34</v>
      </c>
      <c r="C22" s="2"/>
      <c r="D22" s="3"/>
      <c r="E22" s="59"/>
      <c r="F22" s="56"/>
      <c r="G22" s="76"/>
    </row>
    <row r="23" spans="1:7">
      <c r="A23" s="1">
        <v>1</v>
      </c>
      <c r="B23" s="2" t="s">
        <v>35</v>
      </c>
      <c r="C23" s="2" t="s">
        <v>36</v>
      </c>
      <c r="D23" s="3" t="s">
        <v>37</v>
      </c>
      <c r="E23" s="59">
        <f>0.7*0.7*1*13</f>
        <v>6.3699999999999992</v>
      </c>
      <c r="F23" s="75"/>
      <c r="G23" s="76">
        <f>E23*F23</f>
        <v>0</v>
      </c>
    </row>
    <row r="24" spans="1:7">
      <c r="A24" s="1">
        <v>2</v>
      </c>
      <c r="B24" s="2" t="s">
        <v>38</v>
      </c>
      <c r="C24" s="2" t="s">
        <v>39</v>
      </c>
      <c r="D24" s="3" t="s">
        <v>37</v>
      </c>
      <c r="E24" s="59">
        <f>0.7*0.7*0.3*13</f>
        <v>1.9109999999999996</v>
      </c>
      <c r="F24" s="75"/>
      <c r="G24" s="76">
        <f>E24*F24</f>
        <v>0</v>
      </c>
    </row>
    <row r="25" spans="1:7">
      <c r="A25" s="1">
        <v>3</v>
      </c>
      <c r="B25" s="2" t="s">
        <v>40</v>
      </c>
      <c r="C25" s="2" t="s">
        <v>41</v>
      </c>
      <c r="D25" s="3" t="s">
        <v>42</v>
      </c>
      <c r="E25" s="59">
        <v>26</v>
      </c>
      <c r="F25" s="75"/>
      <c r="G25" s="76">
        <f>E25*F25</f>
        <v>0</v>
      </c>
    </row>
    <row r="26" spans="1:7">
      <c r="A26" s="1">
        <v>4</v>
      </c>
      <c r="B26" s="2" t="s">
        <v>43</v>
      </c>
      <c r="C26" s="2"/>
      <c r="D26" s="3" t="s">
        <v>37</v>
      </c>
      <c r="E26" s="59">
        <f>42*0.2*0.3</f>
        <v>2.52</v>
      </c>
      <c r="F26" s="75"/>
      <c r="G26" s="76">
        <f>E26*F26</f>
        <v>0</v>
      </c>
    </row>
    <row r="27" spans="1:7">
      <c r="A27" s="1"/>
      <c r="B27" s="2"/>
      <c r="C27" s="25" t="s">
        <v>44</v>
      </c>
      <c r="D27" s="3"/>
      <c r="E27" s="59"/>
      <c r="F27" s="78"/>
      <c r="G27" s="77">
        <f>SUM(G23:G26)</f>
        <v>0</v>
      </c>
    </row>
    <row r="28" spans="1:7">
      <c r="A28" s="21" t="s">
        <v>45</v>
      </c>
      <c r="B28" s="22" t="s">
        <v>46</v>
      </c>
      <c r="C28" s="2"/>
      <c r="D28" s="3"/>
      <c r="E28" s="62"/>
      <c r="F28" s="56"/>
      <c r="G28" s="76"/>
    </row>
    <row r="29" spans="1:7">
      <c r="A29" s="1">
        <v>1</v>
      </c>
      <c r="B29" s="2" t="s">
        <v>47</v>
      </c>
      <c r="C29" s="2" t="s">
        <v>48</v>
      </c>
      <c r="D29" s="3" t="s">
        <v>37</v>
      </c>
      <c r="E29" s="59">
        <f>(0.15*0.3*3*13)+(4*0.2*0.15*2.8)</f>
        <v>2.0910000000000002</v>
      </c>
      <c r="F29" s="75"/>
      <c r="G29" s="76">
        <f t="shared" ref="G29:G34" si="1">E29*F29</f>
        <v>0</v>
      </c>
    </row>
    <row r="30" spans="1:7">
      <c r="A30" s="1">
        <v>2</v>
      </c>
      <c r="B30" s="2" t="s">
        <v>49</v>
      </c>
      <c r="C30" s="2" t="s">
        <v>50</v>
      </c>
      <c r="D30" s="3" t="s">
        <v>37</v>
      </c>
      <c r="E30" s="59">
        <f>(0.15*0.15*3*8)+(1.75*0.15*0.15*18)+(0.15*0.15*2.8)</f>
        <v>1.31175</v>
      </c>
      <c r="F30" s="75"/>
      <c r="G30" s="76">
        <f t="shared" si="1"/>
        <v>0</v>
      </c>
    </row>
    <row r="31" spans="1:7">
      <c r="A31" s="1">
        <v>3</v>
      </c>
      <c r="B31" s="2" t="s">
        <v>51</v>
      </c>
      <c r="C31" s="2" t="s">
        <v>48</v>
      </c>
      <c r="D31" s="3" t="s">
        <v>37</v>
      </c>
      <c r="E31" s="59">
        <f>(60*0.15*0.3)+(14*0.15*0.3)</f>
        <v>3.3299999999999996</v>
      </c>
      <c r="F31" s="75"/>
      <c r="G31" s="76">
        <f t="shared" si="1"/>
        <v>0</v>
      </c>
    </row>
    <row r="32" spans="1:7">
      <c r="A32" s="1">
        <v>4</v>
      </c>
      <c r="B32" s="2" t="s">
        <v>52</v>
      </c>
      <c r="C32" s="2" t="s">
        <v>53</v>
      </c>
      <c r="D32" s="3" t="s">
        <v>37</v>
      </c>
      <c r="E32" s="59">
        <f>(21*0.15*0.2)+(0.15*0.2*18)</f>
        <v>1.17</v>
      </c>
      <c r="F32" s="75"/>
      <c r="G32" s="76">
        <f t="shared" si="1"/>
        <v>0</v>
      </c>
    </row>
    <row r="33" spans="1:7">
      <c r="A33" s="1">
        <v>5</v>
      </c>
      <c r="B33" s="2" t="s">
        <v>54</v>
      </c>
      <c r="C33" s="2" t="s">
        <v>50</v>
      </c>
      <c r="D33" s="3" t="s">
        <v>37</v>
      </c>
      <c r="E33" s="59">
        <f>62*0.15*0.15</f>
        <v>1.3949999999999998</v>
      </c>
      <c r="F33" s="75"/>
      <c r="G33" s="76">
        <f t="shared" si="1"/>
        <v>0</v>
      </c>
    </row>
    <row r="34" spans="1:7">
      <c r="A34" s="1">
        <v>6</v>
      </c>
      <c r="B34" s="2" t="s">
        <v>55</v>
      </c>
      <c r="C34" s="2" t="s">
        <v>56</v>
      </c>
      <c r="D34" s="3" t="s">
        <v>37</v>
      </c>
      <c r="E34" s="59">
        <f>158*0.12</f>
        <v>18.96</v>
      </c>
      <c r="F34" s="75"/>
      <c r="G34" s="76">
        <f t="shared" si="1"/>
        <v>0</v>
      </c>
    </row>
    <row r="35" spans="1:7">
      <c r="A35" s="1">
        <v>7</v>
      </c>
      <c r="B35" s="2" t="s">
        <v>57</v>
      </c>
      <c r="C35" s="2" t="s">
        <v>50</v>
      </c>
      <c r="D35" s="3" t="s">
        <v>37</v>
      </c>
      <c r="E35" s="59">
        <f>0.15*0.15*2.5*6</f>
        <v>0.33749999999999997</v>
      </c>
      <c r="F35" s="75"/>
      <c r="G35" s="76">
        <f>E35*F35</f>
        <v>0</v>
      </c>
    </row>
    <row r="36" spans="1:7">
      <c r="A36" s="1">
        <v>8</v>
      </c>
      <c r="B36" s="2" t="s">
        <v>58</v>
      </c>
      <c r="C36" s="2" t="s">
        <v>53</v>
      </c>
      <c r="D36" s="3" t="s">
        <v>37</v>
      </c>
      <c r="E36" s="59">
        <f>7*0.15*0.2</f>
        <v>0.21000000000000002</v>
      </c>
      <c r="F36" s="75"/>
      <c r="G36" s="76">
        <f>E36*F36</f>
        <v>0</v>
      </c>
    </row>
    <row r="37" spans="1:7">
      <c r="A37" s="1">
        <v>9</v>
      </c>
      <c r="B37" s="2" t="s">
        <v>59</v>
      </c>
      <c r="C37" s="2" t="s">
        <v>56</v>
      </c>
      <c r="D37" s="3" t="s">
        <v>37</v>
      </c>
      <c r="E37" s="59">
        <f>4*0.1</f>
        <v>0.4</v>
      </c>
      <c r="F37" s="75"/>
      <c r="G37" s="76">
        <f>E37*F37</f>
        <v>0</v>
      </c>
    </row>
    <row r="38" spans="1:7">
      <c r="A38" s="1">
        <v>10</v>
      </c>
      <c r="B38" s="2" t="s">
        <v>60</v>
      </c>
      <c r="C38" s="2" t="s">
        <v>56</v>
      </c>
      <c r="D38" s="3" t="s">
        <v>37</v>
      </c>
      <c r="E38" s="59">
        <f>5.5*4.5*0.12</f>
        <v>2.9699999999999998</v>
      </c>
      <c r="F38" s="75"/>
      <c r="G38" s="76">
        <f>E38*F38</f>
        <v>0</v>
      </c>
    </row>
    <row r="39" spans="1:7">
      <c r="A39" s="1">
        <v>11</v>
      </c>
      <c r="B39" s="2" t="s">
        <v>61</v>
      </c>
      <c r="C39" s="2" t="s">
        <v>62</v>
      </c>
      <c r="D39" s="3" t="s">
        <v>37</v>
      </c>
      <c r="E39" s="59">
        <f>1*7*0.15</f>
        <v>1.05</v>
      </c>
      <c r="F39" s="75"/>
      <c r="G39" s="76">
        <f>E39*F39</f>
        <v>0</v>
      </c>
    </row>
    <row r="40" spans="1:7">
      <c r="A40" s="1"/>
      <c r="B40" s="2"/>
      <c r="C40" s="25" t="s">
        <v>63</v>
      </c>
      <c r="D40" s="3"/>
      <c r="E40" s="59"/>
      <c r="F40" s="78"/>
      <c r="G40" s="77">
        <f>SUM(G29:G39)</f>
        <v>0</v>
      </c>
    </row>
    <row r="41" spans="1:7">
      <c r="A41" s="21" t="s">
        <v>64</v>
      </c>
      <c r="B41" s="22" t="s">
        <v>65</v>
      </c>
      <c r="C41" s="2"/>
      <c r="D41" s="3"/>
      <c r="E41" s="59"/>
      <c r="F41" s="78"/>
      <c r="G41" s="76"/>
    </row>
    <row r="42" spans="1:7">
      <c r="A42" s="1">
        <v>1</v>
      </c>
      <c r="B42" s="63" t="s">
        <v>66</v>
      </c>
      <c r="C42" s="2" t="s">
        <v>67</v>
      </c>
      <c r="D42" s="3" t="s">
        <v>25</v>
      </c>
      <c r="E42" s="59">
        <f>(210)+(14*2.8)+5+5</f>
        <v>259.2</v>
      </c>
      <c r="F42" s="75"/>
      <c r="G42" s="76">
        <f>E42*F42</f>
        <v>0</v>
      </c>
    </row>
    <row r="43" spans="1:7">
      <c r="A43" s="64">
        <v>2</v>
      </c>
      <c r="B43" s="2" t="s">
        <v>68</v>
      </c>
      <c r="C43" s="2" t="s">
        <v>69</v>
      </c>
      <c r="D43" s="3" t="s">
        <v>25</v>
      </c>
      <c r="E43" s="59">
        <v>8</v>
      </c>
      <c r="F43" s="79"/>
      <c r="G43" s="76">
        <f>E43*F43</f>
        <v>0</v>
      </c>
    </row>
    <row r="44" spans="1:7">
      <c r="A44" s="1"/>
      <c r="B44" s="2"/>
      <c r="C44" s="25" t="s">
        <v>70</v>
      </c>
      <c r="D44" s="3"/>
      <c r="E44" s="59"/>
      <c r="F44" s="56"/>
      <c r="G44" s="77">
        <f>SUM(G42:G43)</f>
        <v>0</v>
      </c>
    </row>
    <row r="45" spans="1:7">
      <c r="A45" s="21" t="s">
        <v>71</v>
      </c>
      <c r="B45" s="22" t="s">
        <v>72</v>
      </c>
      <c r="C45" s="2"/>
      <c r="D45" s="3"/>
      <c r="E45" s="59"/>
      <c r="F45" s="56"/>
      <c r="G45" s="76"/>
    </row>
    <row r="46" spans="1:7">
      <c r="A46" s="1">
        <v>1</v>
      </c>
      <c r="B46" s="2" t="s">
        <v>73</v>
      </c>
      <c r="C46" s="2" t="s">
        <v>74</v>
      </c>
      <c r="D46" s="3" t="s">
        <v>25</v>
      </c>
      <c r="E46" s="59">
        <f>E42*2+5</f>
        <v>523.4</v>
      </c>
      <c r="F46" s="75"/>
      <c r="G46" s="76">
        <f>E46*F46</f>
        <v>0</v>
      </c>
    </row>
    <row r="47" spans="1:7">
      <c r="A47" s="1">
        <v>2</v>
      </c>
      <c r="B47" s="2" t="s">
        <v>75</v>
      </c>
      <c r="C47" s="2" t="s">
        <v>76</v>
      </c>
      <c r="D47" s="3" t="s">
        <v>25</v>
      </c>
      <c r="E47" s="59">
        <f>E46+5</f>
        <v>528.4</v>
      </c>
      <c r="F47" s="75"/>
      <c r="G47" s="76">
        <f>E47*F47</f>
        <v>0</v>
      </c>
    </row>
    <row r="48" spans="1:7">
      <c r="A48" s="1">
        <v>3</v>
      </c>
      <c r="B48" s="2" t="s">
        <v>77</v>
      </c>
      <c r="C48" s="2"/>
      <c r="D48" s="3"/>
      <c r="E48" s="59"/>
      <c r="F48" s="75"/>
      <c r="G48" s="76"/>
    </row>
    <row r="49" spans="1:7">
      <c r="A49" s="65"/>
      <c r="B49" s="2" t="s">
        <v>78</v>
      </c>
      <c r="C49" s="2" t="s">
        <v>79</v>
      </c>
      <c r="D49" s="3" t="s">
        <v>25</v>
      </c>
      <c r="E49" s="59">
        <v>3</v>
      </c>
      <c r="F49" s="79"/>
      <c r="G49" s="76">
        <f>E49*F49</f>
        <v>0</v>
      </c>
    </row>
    <row r="50" spans="1:7">
      <c r="A50" s="65"/>
      <c r="B50" s="2" t="s">
        <v>80</v>
      </c>
      <c r="C50" s="2" t="s">
        <v>81</v>
      </c>
      <c r="D50" s="3" t="s">
        <v>25</v>
      </c>
      <c r="E50" s="59">
        <v>23</v>
      </c>
      <c r="F50" s="79"/>
      <c r="G50" s="76">
        <f>E50*F50</f>
        <v>0</v>
      </c>
    </row>
    <row r="51" spans="1:7">
      <c r="A51" s="65"/>
      <c r="B51" s="2" t="s">
        <v>82</v>
      </c>
      <c r="C51" s="2" t="s">
        <v>81</v>
      </c>
      <c r="D51" s="3" t="s">
        <v>25</v>
      </c>
      <c r="E51" s="59">
        <v>20</v>
      </c>
      <c r="F51" s="79"/>
      <c r="G51" s="76">
        <f>E51*F51</f>
        <v>0</v>
      </c>
    </row>
    <row r="52" spans="1:7">
      <c r="A52" s="65"/>
      <c r="B52" s="2" t="s">
        <v>83</v>
      </c>
      <c r="C52" s="2" t="s">
        <v>81</v>
      </c>
      <c r="D52" s="3" t="s">
        <v>25</v>
      </c>
      <c r="E52" s="59">
        <v>21</v>
      </c>
      <c r="F52" s="79"/>
      <c r="G52" s="76">
        <f>E52*F52</f>
        <v>0</v>
      </c>
    </row>
    <row r="53" spans="1:7">
      <c r="A53" s="65"/>
      <c r="B53" s="2" t="s">
        <v>84</v>
      </c>
      <c r="C53" s="2"/>
      <c r="D53" s="3" t="s">
        <v>25</v>
      </c>
      <c r="E53" s="59">
        <f>(5*3)+(12*4)</f>
        <v>63</v>
      </c>
      <c r="F53" s="79"/>
      <c r="G53" s="76">
        <f>E53*F53</f>
        <v>0</v>
      </c>
    </row>
    <row r="54" spans="1:7">
      <c r="A54" s="1"/>
      <c r="B54" s="2"/>
      <c r="C54" s="25" t="s">
        <v>85</v>
      </c>
      <c r="D54" s="3"/>
      <c r="E54" s="59"/>
      <c r="F54" s="56"/>
      <c r="G54" s="77">
        <f>SUM(G46:G53)</f>
        <v>0</v>
      </c>
    </row>
    <row r="55" spans="1:7">
      <c r="A55" s="21" t="s">
        <v>86</v>
      </c>
      <c r="B55" s="22" t="s">
        <v>87</v>
      </c>
      <c r="C55" s="2"/>
      <c r="D55" s="3"/>
      <c r="E55" s="59"/>
      <c r="F55" s="56"/>
      <c r="G55" s="76"/>
    </row>
    <row r="56" spans="1:7">
      <c r="A56" s="1">
        <v>1</v>
      </c>
      <c r="B56" s="2" t="s">
        <v>88</v>
      </c>
      <c r="C56" s="2"/>
      <c r="D56" s="3" t="s">
        <v>25</v>
      </c>
      <c r="E56" s="59">
        <v>400</v>
      </c>
      <c r="F56" s="75"/>
      <c r="G56" s="76">
        <f t="shared" ref="G56:G61" si="2">E56*F56</f>
        <v>0</v>
      </c>
    </row>
    <row r="57" spans="1:7">
      <c r="A57" s="1">
        <v>2</v>
      </c>
      <c r="B57" s="2" t="s">
        <v>89</v>
      </c>
      <c r="C57" s="2" t="s">
        <v>90</v>
      </c>
      <c r="D57" s="3" t="s">
        <v>25</v>
      </c>
      <c r="E57" s="59">
        <v>400</v>
      </c>
      <c r="F57" s="75"/>
      <c r="G57" s="76">
        <f t="shared" si="2"/>
        <v>0</v>
      </c>
    </row>
    <row r="58" spans="1:7">
      <c r="A58" s="1">
        <v>3</v>
      </c>
      <c r="B58" s="2" t="s">
        <v>91</v>
      </c>
      <c r="C58" s="2" t="s">
        <v>92</v>
      </c>
      <c r="D58" s="3" t="s">
        <v>25</v>
      </c>
      <c r="E58" s="59">
        <v>400</v>
      </c>
      <c r="F58" s="75"/>
      <c r="G58" s="76">
        <f t="shared" si="2"/>
        <v>0</v>
      </c>
    </row>
    <row r="59" spans="1:7">
      <c r="A59" s="1">
        <v>4</v>
      </c>
      <c r="B59" s="2" t="s">
        <v>93</v>
      </c>
      <c r="C59" s="2" t="s">
        <v>90</v>
      </c>
      <c r="D59" s="3" t="s">
        <v>42</v>
      </c>
      <c r="E59" s="59">
        <v>44</v>
      </c>
      <c r="F59" s="75"/>
      <c r="G59" s="76">
        <f t="shared" si="2"/>
        <v>0</v>
      </c>
    </row>
    <row r="60" spans="1:7">
      <c r="A60" s="1">
        <v>6</v>
      </c>
      <c r="B60" s="2" t="s">
        <v>94</v>
      </c>
      <c r="C60" s="2" t="s">
        <v>95</v>
      </c>
      <c r="D60" s="3" t="s">
        <v>42</v>
      </c>
      <c r="E60" s="59">
        <v>78</v>
      </c>
      <c r="F60" s="75"/>
      <c r="G60" s="76">
        <f t="shared" si="2"/>
        <v>0</v>
      </c>
    </row>
    <row r="61" spans="1:7">
      <c r="A61" s="1">
        <v>7</v>
      </c>
      <c r="B61" s="2" t="s">
        <v>96</v>
      </c>
      <c r="C61" s="2" t="s">
        <v>97</v>
      </c>
      <c r="D61" s="3" t="s">
        <v>25</v>
      </c>
      <c r="E61" s="59">
        <f>254+(5.5*4.5)</f>
        <v>278.75</v>
      </c>
      <c r="F61" s="75"/>
      <c r="G61" s="76">
        <f t="shared" si="2"/>
        <v>0</v>
      </c>
    </row>
    <row r="62" spans="1:7">
      <c r="A62" s="1">
        <v>8</v>
      </c>
      <c r="B62" s="2" t="s">
        <v>98</v>
      </c>
      <c r="C62" s="2" t="s">
        <v>99</v>
      </c>
      <c r="D62" s="3" t="s">
        <v>25</v>
      </c>
      <c r="E62" s="59">
        <v>96</v>
      </c>
      <c r="F62" s="75"/>
      <c r="G62" s="76">
        <f>E62*F62</f>
        <v>0</v>
      </c>
    </row>
    <row r="63" spans="1:7">
      <c r="A63" s="1">
        <v>9</v>
      </c>
      <c r="B63" s="2" t="s">
        <v>100</v>
      </c>
      <c r="C63" s="2" t="s">
        <v>101</v>
      </c>
      <c r="D63" s="3" t="s">
        <v>25</v>
      </c>
      <c r="E63" s="59">
        <f>10.5*3.5</f>
        <v>36.75</v>
      </c>
      <c r="F63" s="75"/>
      <c r="G63" s="76">
        <f>E63*F63</f>
        <v>0</v>
      </c>
    </row>
    <row r="64" spans="1:7">
      <c r="A64" s="1">
        <v>10</v>
      </c>
      <c r="B64" s="2" t="s">
        <v>320</v>
      </c>
      <c r="C64" s="2" t="s">
        <v>101</v>
      </c>
      <c r="D64" s="3" t="s">
        <v>25</v>
      </c>
      <c r="E64" s="59">
        <f>5*3</f>
        <v>15</v>
      </c>
      <c r="F64" s="75"/>
      <c r="G64" s="76">
        <f>E64*F64</f>
        <v>0</v>
      </c>
    </row>
    <row r="65" spans="1:7">
      <c r="A65" s="1"/>
      <c r="B65" s="2"/>
      <c r="C65" s="25" t="s">
        <v>102</v>
      </c>
      <c r="D65" s="3"/>
      <c r="E65" s="59"/>
      <c r="F65" s="56"/>
      <c r="G65" s="77">
        <f>SUM(G56:G63)+G64</f>
        <v>0</v>
      </c>
    </row>
    <row r="66" spans="1:7">
      <c r="A66" s="21" t="s">
        <v>103</v>
      </c>
      <c r="B66" s="22" t="s">
        <v>104</v>
      </c>
      <c r="C66" s="2"/>
      <c r="D66" s="3"/>
      <c r="E66" s="59"/>
      <c r="F66" s="56"/>
      <c r="G66" s="76"/>
    </row>
    <row r="67" spans="1:7">
      <c r="A67" s="1">
        <v>1</v>
      </c>
      <c r="B67" s="2" t="s">
        <v>105</v>
      </c>
      <c r="C67" s="2" t="s">
        <v>106</v>
      </c>
      <c r="D67" s="3" t="s">
        <v>25</v>
      </c>
      <c r="E67" s="59">
        <f>275+(5.4*4.5)</f>
        <v>299.3</v>
      </c>
      <c r="F67" s="75"/>
      <c r="G67" s="76">
        <f>E67*F67</f>
        <v>0</v>
      </c>
    </row>
    <row r="68" spans="1:7">
      <c r="A68" s="1">
        <v>2</v>
      </c>
      <c r="B68" s="2" t="s">
        <v>107</v>
      </c>
      <c r="C68" s="2" t="s">
        <v>108</v>
      </c>
      <c r="D68" s="3" t="s">
        <v>42</v>
      </c>
      <c r="E68" s="59">
        <f>221+44</f>
        <v>265</v>
      </c>
      <c r="F68" s="75"/>
      <c r="G68" s="76">
        <f>E68*F68</f>
        <v>0</v>
      </c>
    </row>
    <row r="69" spans="1:7">
      <c r="A69" s="1">
        <v>3</v>
      </c>
      <c r="B69" s="2" t="s">
        <v>109</v>
      </c>
      <c r="C69" s="2" t="s">
        <v>110</v>
      </c>
      <c r="D69" s="3" t="s">
        <v>25</v>
      </c>
      <c r="E69" s="59">
        <f>70*1.25</f>
        <v>87.5</v>
      </c>
      <c r="F69" s="75"/>
      <c r="G69" s="76">
        <f>E69*F69</f>
        <v>0</v>
      </c>
    </row>
    <row r="70" spans="1:7">
      <c r="A70" s="1"/>
      <c r="B70" s="2"/>
      <c r="C70" s="25" t="s">
        <v>111</v>
      </c>
      <c r="D70" s="2"/>
      <c r="E70" s="59"/>
      <c r="F70" s="56"/>
      <c r="G70" s="77">
        <f>SUM(G67:G69)</f>
        <v>0</v>
      </c>
    </row>
    <row r="71" spans="1:7">
      <c r="A71" s="21" t="s">
        <v>112</v>
      </c>
      <c r="B71" s="22" t="s">
        <v>113</v>
      </c>
      <c r="C71" s="2"/>
      <c r="D71" s="2"/>
      <c r="E71" s="59"/>
      <c r="F71" s="56"/>
      <c r="G71" s="76"/>
    </row>
    <row r="72" spans="1:7">
      <c r="A72" s="1">
        <v>1</v>
      </c>
      <c r="B72" s="27" t="s">
        <v>114</v>
      </c>
      <c r="C72" s="2" t="s">
        <v>115</v>
      </c>
      <c r="D72" s="28" t="s">
        <v>25</v>
      </c>
      <c r="E72" s="66">
        <v>15</v>
      </c>
      <c r="F72" s="79"/>
      <c r="G72" s="80">
        <f t="shared" ref="G72:G81" si="3">E72*F72</f>
        <v>0</v>
      </c>
    </row>
    <row r="73" spans="1:7">
      <c r="A73" s="1">
        <v>2</v>
      </c>
      <c r="B73" s="27" t="s">
        <v>116</v>
      </c>
      <c r="C73" s="2" t="s">
        <v>115</v>
      </c>
      <c r="D73" s="28" t="s">
        <v>25</v>
      </c>
      <c r="E73" s="66">
        <v>28</v>
      </c>
      <c r="F73" s="79"/>
      <c r="G73" s="80">
        <f t="shared" si="3"/>
        <v>0</v>
      </c>
    </row>
    <row r="74" spans="1:7">
      <c r="A74" s="1">
        <v>3</v>
      </c>
      <c r="B74" s="2" t="s">
        <v>117</v>
      </c>
      <c r="C74" s="2" t="s">
        <v>115</v>
      </c>
      <c r="D74" s="28" t="s">
        <v>25</v>
      </c>
      <c r="E74" s="66">
        <v>5</v>
      </c>
      <c r="F74" s="79"/>
      <c r="G74" s="80">
        <f t="shared" si="3"/>
        <v>0</v>
      </c>
    </row>
    <row r="75" spans="1:7">
      <c r="A75" s="1">
        <v>4</v>
      </c>
      <c r="B75" s="2" t="s">
        <v>118</v>
      </c>
      <c r="C75" s="2" t="s">
        <v>115</v>
      </c>
      <c r="D75" s="28" t="s">
        <v>25</v>
      </c>
      <c r="E75" s="66">
        <v>8</v>
      </c>
      <c r="F75" s="79"/>
      <c r="G75" s="80">
        <f t="shared" si="3"/>
        <v>0</v>
      </c>
    </row>
    <row r="76" spans="1:7">
      <c r="A76" s="1">
        <v>5</v>
      </c>
      <c r="B76" s="2" t="s">
        <v>119</v>
      </c>
      <c r="C76" s="2" t="s">
        <v>115</v>
      </c>
      <c r="D76" s="28" t="s">
        <v>25</v>
      </c>
      <c r="E76" s="66">
        <v>4</v>
      </c>
      <c r="F76" s="79"/>
      <c r="G76" s="80">
        <f t="shared" si="3"/>
        <v>0</v>
      </c>
    </row>
    <row r="77" spans="1:7">
      <c r="A77" s="1">
        <v>6</v>
      </c>
      <c r="B77" s="2" t="s">
        <v>120</v>
      </c>
      <c r="C77" s="2" t="s">
        <v>115</v>
      </c>
      <c r="D77" s="28" t="s">
        <v>25</v>
      </c>
      <c r="E77" s="66">
        <v>4</v>
      </c>
      <c r="F77" s="79"/>
      <c r="G77" s="80">
        <f>E77*F77</f>
        <v>0</v>
      </c>
    </row>
    <row r="78" spans="1:7">
      <c r="A78" s="1">
        <v>7</v>
      </c>
      <c r="B78" s="2" t="s">
        <v>121</v>
      </c>
      <c r="C78" s="2" t="s">
        <v>115</v>
      </c>
      <c r="D78" s="28" t="s">
        <v>25</v>
      </c>
      <c r="E78" s="66">
        <v>4</v>
      </c>
      <c r="F78" s="79"/>
      <c r="G78" s="80">
        <f>E78*F78</f>
        <v>0</v>
      </c>
    </row>
    <row r="79" spans="1:7">
      <c r="A79" s="1">
        <v>8</v>
      </c>
      <c r="B79" s="2" t="s">
        <v>122</v>
      </c>
      <c r="C79" s="2" t="s">
        <v>115</v>
      </c>
      <c r="D79" s="28" t="s">
        <v>25</v>
      </c>
      <c r="E79" s="66">
        <f>6*1.75</f>
        <v>10.5</v>
      </c>
      <c r="F79" s="79"/>
      <c r="G79" s="80">
        <f>E79*F79</f>
        <v>0</v>
      </c>
    </row>
    <row r="80" spans="1:7">
      <c r="A80" s="1">
        <v>9</v>
      </c>
      <c r="B80" s="2" t="s">
        <v>321</v>
      </c>
      <c r="C80" s="2" t="s">
        <v>115</v>
      </c>
      <c r="D80" s="28" t="s">
        <v>25</v>
      </c>
      <c r="E80" s="66">
        <v>8</v>
      </c>
      <c r="F80" s="79"/>
      <c r="G80" s="80">
        <f>E80*F80</f>
        <v>0</v>
      </c>
    </row>
    <row r="81" spans="1:7">
      <c r="A81" s="1">
        <v>10</v>
      </c>
      <c r="B81" s="27" t="s">
        <v>123</v>
      </c>
      <c r="C81" s="2" t="s">
        <v>124</v>
      </c>
      <c r="D81" s="3" t="s">
        <v>125</v>
      </c>
      <c r="E81" s="66">
        <v>23</v>
      </c>
      <c r="F81" s="79"/>
      <c r="G81" s="80">
        <f t="shared" si="3"/>
        <v>0</v>
      </c>
    </row>
    <row r="82" spans="1:7">
      <c r="A82" s="1">
        <v>11</v>
      </c>
      <c r="B82" s="27" t="s">
        <v>126</v>
      </c>
      <c r="C82" s="2" t="s">
        <v>127</v>
      </c>
      <c r="D82" s="28" t="s">
        <v>25</v>
      </c>
      <c r="E82" s="66">
        <v>18</v>
      </c>
      <c r="F82" s="79"/>
      <c r="G82" s="80">
        <f>E82*F82</f>
        <v>0</v>
      </c>
    </row>
    <row r="83" spans="1:7">
      <c r="A83" s="1"/>
      <c r="B83" s="2"/>
      <c r="C83" s="25" t="s">
        <v>128</v>
      </c>
      <c r="D83" s="3"/>
      <c r="E83" s="59"/>
      <c r="F83" s="56"/>
      <c r="G83" s="77">
        <f>SUM(G72:G82)</f>
        <v>0</v>
      </c>
    </row>
    <row r="84" spans="1:7">
      <c r="A84" s="21" t="s">
        <v>129</v>
      </c>
      <c r="B84" s="22" t="s">
        <v>130</v>
      </c>
      <c r="C84" s="2"/>
      <c r="D84" s="3"/>
      <c r="E84" s="59"/>
      <c r="F84" s="56"/>
      <c r="G84" s="76" t="s">
        <v>131</v>
      </c>
    </row>
    <row r="85" spans="1:7">
      <c r="A85" s="1">
        <v>1</v>
      </c>
      <c r="B85" s="27" t="s">
        <v>322</v>
      </c>
      <c r="C85" s="2" t="s">
        <v>132</v>
      </c>
      <c r="D85" s="3" t="s">
        <v>133</v>
      </c>
      <c r="E85" s="59">
        <v>20</v>
      </c>
      <c r="F85" s="75"/>
      <c r="G85" s="76">
        <f t="shared" ref="G85:G90" si="4">E85*F85</f>
        <v>0</v>
      </c>
    </row>
    <row r="86" spans="1:7">
      <c r="A86" s="1">
        <v>2</v>
      </c>
      <c r="B86" s="27" t="s">
        <v>323</v>
      </c>
      <c r="C86" s="2" t="s">
        <v>132</v>
      </c>
      <c r="D86" s="3" t="s">
        <v>133</v>
      </c>
      <c r="E86" s="59">
        <v>7</v>
      </c>
      <c r="F86" s="75"/>
      <c r="G86" s="76">
        <f t="shared" si="4"/>
        <v>0</v>
      </c>
    </row>
    <row r="87" spans="1:7">
      <c r="A87" s="1">
        <v>3</v>
      </c>
      <c r="B87" s="27" t="s">
        <v>134</v>
      </c>
      <c r="C87" s="2" t="s">
        <v>135</v>
      </c>
      <c r="D87" s="3" t="s">
        <v>133</v>
      </c>
      <c r="E87" s="59">
        <v>4</v>
      </c>
      <c r="F87" s="75"/>
      <c r="G87" s="76">
        <f t="shared" si="4"/>
        <v>0</v>
      </c>
    </row>
    <row r="88" spans="1:7">
      <c r="A88" s="1">
        <v>4</v>
      </c>
      <c r="B88" s="27" t="s">
        <v>136</v>
      </c>
      <c r="C88" s="2" t="s">
        <v>324</v>
      </c>
      <c r="D88" s="3" t="s">
        <v>133</v>
      </c>
      <c r="E88" s="59">
        <v>0</v>
      </c>
      <c r="F88" s="75"/>
      <c r="G88" s="76">
        <f t="shared" si="4"/>
        <v>0</v>
      </c>
    </row>
    <row r="89" spans="1:7">
      <c r="A89" s="1">
        <v>5</v>
      </c>
      <c r="B89" s="27" t="s">
        <v>138</v>
      </c>
      <c r="C89" s="2" t="s">
        <v>137</v>
      </c>
      <c r="D89" s="3" t="s">
        <v>133</v>
      </c>
      <c r="E89" s="59">
        <v>36</v>
      </c>
      <c r="F89" s="75"/>
      <c r="G89" s="76">
        <f t="shared" si="4"/>
        <v>0</v>
      </c>
    </row>
    <row r="90" spans="1:7">
      <c r="A90" s="1">
        <v>6</v>
      </c>
      <c r="B90" s="27" t="s">
        <v>139</v>
      </c>
      <c r="C90" s="2" t="s">
        <v>140</v>
      </c>
      <c r="D90" s="3" t="s">
        <v>133</v>
      </c>
      <c r="E90" s="59">
        <v>1</v>
      </c>
      <c r="F90" s="75"/>
      <c r="G90" s="76">
        <f t="shared" si="4"/>
        <v>0</v>
      </c>
    </row>
    <row r="91" spans="1:7">
      <c r="A91" s="1"/>
      <c r="B91" s="2"/>
      <c r="C91" s="25" t="s">
        <v>141</v>
      </c>
      <c r="D91" s="3"/>
      <c r="E91" s="59"/>
      <c r="F91" s="75"/>
      <c r="G91" s="77">
        <f>SUM(G85:G90)</f>
        <v>0</v>
      </c>
    </row>
    <row r="92" spans="1:7">
      <c r="A92" s="21" t="s">
        <v>142</v>
      </c>
      <c r="B92" s="22" t="s">
        <v>143</v>
      </c>
      <c r="C92" s="2"/>
      <c r="D92" s="3"/>
      <c r="E92" s="59"/>
      <c r="F92" s="56"/>
      <c r="G92" s="76"/>
    </row>
    <row r="93" spans="1:7">
      <c r="A93" s="1">
        <v>1</v>
      </c>
      <c r="B93" s="27" t="s">
        <v>144</v>
      </c>
      <c r="C93" s="2"/>
      <c r="D93" s="3" t="s">
        <v>145</v>
      </c>
      <c r="E93" s="59">
        <v>15</v>
      </c>
      <c r="F93" s="75"/>
      <c r="G93" s="76">
        <f>E93*F93</f>
        <v>0</v>
      </c>
    </row>
    <row r="94" spans="1:7">
      <c r="A94" s="1">
        <v>2</v>
      </c>
      <c r="B94" s="27" t="s">
        <v>146</v>
      </c>
      <c r="C94" s="2" t="s">
        <v>147</v>
      </c>
      <c r="D94" s="3" t="s">
        <v>145</v>
      </c>
      <c r="E94" s="59">
        <v>15</v>
      </c>
      <c r="F94" s="75"/>
      <c r="G94" s="76">
        <f>E94*F94</f>
        <v>0</v>
      </c>
    </row>
    <row r="95" spans="1:7">
      <c r="A95" s="1"/>
      <c r="B95" s="2"/>
      <c r="C95" s="25" t="s">
        <v>148</v>
      </c>
      <c r="D95" s="3"/>
      <c r="E95" s="59"/>
      <c r="F95" s="75"/>
      <c r="G95" s="77">
        <v>0</v>
      </c>
    </row>
    <row r="96" spans="1:7">
      <c r="A96" s="21" t="s">
        <v>149</v>
      </c>
      <c r="B96" s="22" t="s">
        <v>150</v>
      </c>
      <c r="C96" s="2"/>
      <c r="D96" s="3"/>
      <c r="E96" s="59"/>
      <c r="F96" s="56"/>
      <c r="G96" s="76"/>
    </row>
    <row r="97" spans="1:7">
      <c r="A97" s="1">
        <v>1</v>
      </c>
      <c r="B97" s="2" t="s">
        <v>151</v>
      </c>
      <c r="C97" s="2" t="s">
        <v>152</v>
      </c>
      <c r="D97" s="3" t="s">
        <v>25</v>
      </c>
      <c r="E97" s="59">
        <f>422+(14*2.8)</f>
        <v>461.2</v>
      </c>
      <c r="F97" s="75"/>
      <c r="G97" s="76">
        <f t="shared" ref="G97:G102" si="5">E97*F97</f>
        <v>0</v>
      </c>
    </row>
    <row r="98" spans="1:7">
      <c r="A98" s="1">
        <v>2</v>
      </c>
      <c r="B98" s="2" t="s">
        <v>153</v>
      </c>
      <c r="C98" s="2" t="s">
        <v>154</v>
      </c>
      <c r="D98" s="3" t="s">
        <v>25</v>
      </c>
      <c r="E98" s="59">
        <f>252+(14*3)+(10.5*1)</f>
        <v>304.5</v>
      </c>
      <c r="F98" s="75"/>
      <c r="G98" s="76">
        <f t="shared" si="5"/>
        <v>0</v>
      </c>
    </row>
    <row r="99" spans="1:7">
      <c r="A99" s="1">
        <v>3</v>
      </c>
      <c r="B99" s="2" t="s">
        <v>155</v>
      </c>
      <c r="C99" s="2" t="s">
        <v>152</v>
      </c>
      <c r="D99" s="3" t="s">
        <v>25</v>
      </c>
      <c r="E99" s="59">
        <f>E67+(3.5*3.5)</f>
        <v>311.55</v>
      </c>
      <c r="F99" s="75"/>
      <c r="G99" s="76">
        <f t="shared" si="5"/>
        <v>0</v>
      </c>
    </row>
    <row r="100" spans="1:7">
      <c r="A100" s="1">
        <v>4</v>
      </c>
      <c r="B100" s="2" t="s">
        <v>156</v>
      </c>
      <c r="C100" s="2" t="s">
        <v>157</v>
      </c>
      <c r="D100" s="3" t="s">
        <v>158</v>
      </c>
      <c r="E100" s="59">
        <v>21</v>
      </c>
      <c r="F100" s="75"/>
      <c r="G100" s="76">
        <f t="shared" si="5"/>
        <v>0</v>
      </c>
    </row>
    <row r="101" spans="1:7">
      <c r="A101" s="1">
        <v>5</v>
      </c>
      <c r="B101" s="2" t="s">
        <v>159</v>
      </c>
      <c r="C101" s="2" t="s">
        <v>157</v>
      </c>
      <c r="D101" s="3" t="s">
        <v>158</v>
      </c>
      <c r="E101" s="59">
        <v>27</v>
      </c>
      <c r="F101" s="75"/>
      <c r="G101" s="76">
        <f t="shared" si="5"/>
        <v>0</v>
      </c>
    </row>
    <row r="102" spans="1:7">
      <c r="A102" s="1">
        <v>6</v>
      </c>
      <c r="B102" s="2" t="s">
        <v>325</v>
      </c>
      <c r="C102" s="2" t="s">
        <v>157</v>
      </c>
      <c r="D102" s="3" t="s">
        <v>42</v>
      </c>
      <c r="E102" s="59">
        <v>222</v>
      </c>
      <c r="F102" s="75"/>
      <c r="G102" s="76">
        <f t="shared" si="5"/>
        <v>0</v>
      </c>
    </row>
    <row r="103" spans="1:7">
      <c r="A103" s="1"/>
      <c r="B103" s="2"/>
      <c r="C103" s="25" t="s">
        <v>160</v>
      </c>
      <c r="D103" s="3"/>
      <c r="E103" s="59"/>
      <c r="F103" s="56"/>
      <c r="G103" s="77">
        <f>SUM(G97:G102)</f>
        <v>0</v>
      </c>
    </row>
    <row r="104" spans="1:7">
      <c r="A104" s="21" t="s">
        <v>161</v>
      </c>
      <c r="B104" s="22" t="s">
        <v>162</v>
      </c>
      <c r="C104" s="2"/>
      <c r="D104" s="3"/>
      <c r="E104" s="59"/>
      <c r="F104" s="56"/>
      <c r="G104" s="76"/>
    </row>
    <row r="105" spans="1:7">
      <c r="A105" s="1">
        <v>1</v>
      </c>
      <c r="B105" s="2" t="s">
        <v>163</v>
      </c>
      <c r="C105" s="2" t="s">
        <v>164</v>
      </c>
      <c r="D105" s="3" t="s">
        <v>42</v>
      </c>
      <c r="E105" s="59">
        <v>32</v>
      </c>
      <c r="F105" s="75"/>
      <c r="G105" s="76">
        <f t="shared" ref="G105:G112" si="6">E105*F105</f>
        <v>0</v>
      </c>
    </row>
    <row r="106" spans="1:7">
      <c r="A106" s="1">
        <v>2</v>
      </c>
      <c r="B106" s="2" t="s">
        <v>163</v>
      </c>
      <c r="C106" s="2" t="s">
        <v>165</v>
      </c>
      <c r="D106" s="3" t="s">
        <v>42</v>
      </c>
      <c r="E106" s="59">
        <v>48</v>
      </c>
      <c r="F106" s="75"/>
      <c r="G106" s="76">
        <f t="shared" si="6"/>
        <v>0</v>
      </c>
    </row>
    <row r="107" spans="1:7">
      <c r="A107" s="1">
        <v>3</v>
      </c>
      <c r="B107" s="2" t="s">
        <v>166</v>
      </c>
      <c r="C107" s="2" t="s">
        <v>167</v>
      </c>
      <c r="D107" s="3" t="s">
        <v>42</v>
      </c>
      <c r="E107" s="59">
        <v>36</v>
      </c>
      <c r="F107" s="75"/>
      <c r="G107" s="76">
        <f t="shared" si="6"/>
        <v>0</v>
      </c>
    </row>
    <row r="108" spans="1:7">
      <c r="A108" s="1">
        <v>4</v>
      </c>
      <c r="B108" s="2" t="s">
        <v>168</v>
      </c>
      <c r="C108" s="2" t="s">
        <v>169</v>
      </c>
      <c r="D108" s="3" t="s">
        <v>42</v>
      </c>
      <c r="E108" s="59">
        <v>24</v>
      </c>
      <c r="F108" s="75"/>
      <c r="G108" s="76">
        <f t="shared" si="6"/>
        <v>0</v>
      </c>
    </row>
    <row r="109" spans="1:7">
      <c r="A109" s="1">
        <v>5</v>
      </c>
      <c r="B109" s="2" t="s">
        <v>170</v>
      </c>
      <c r="C109" s="2" t="s">
        <v>171</v>
      </c>
      <c r="D109" s="3" t="s">
        <v>172</v>
      </c>
      <c r="E109" s="59">
        <v>5</v>
      </c>
      <c r="F109" s="75"/>
      <c r="G109" s="76">
        <f t="shared" si="6"/>
        <v>0</v>
      </c>
    </row>
    <row r="110" spans="1:7">
      <c r="A110" s="1">
        <v>6</v>
      </c>
      <c r="B110" s="2" t="s">
        <v>173</v>
      </c>
      <c r="C110" s="2" t="s">
        <v>174</v>
      </c>
      <c r="D110" s="3" t="s">
        <v>42</v>
      </c>
      <c r="E110" s="59">
        <v>30</v>
      </c>
      <c r="F110" s="75"/>
      <c r="G110" s="76">
        <f t="shared" si="6"/>
        <v>0</v>
      </c>
    </row>
    <row r="111" spans="1:7">
      <c r="A111" s="67">
        <v>7</v>
      </c>
      <c r="B111" s="27" t="s">
        <v>326</v>
      </c>
      <c r="C111" s="27" t="s">
        <v>327</v>
      </c>
      <c r="D111" s="28" t="s">
        <v>328</v>
      </c>
      <c r="E111" s="66">
        <v>1</v>
      </c>
      <c r="F111" s="75"/>
      <c r="G111" s="76">
        <f t="shared" si="6"/>
        <v>0</v>
      </c>
    </row>
    <row r="112" spans="1:7">
      <c r="A112" s="1">
        <v>8</v>
      </c>
      <c r="B112" s="2" t="s">
        <v>329</v>
      </c>
      <c r="C112" s="2" t="s">
        <v>330</v>
      </c>
      <c r="D112" s="3" t="s">
        <v>328</v>
      </c>
      <c r="E112" s="59">
        <v>1</v>
      </c>
      <c r="F112" s="75"/>
      <c r="G112" s="76">
        <f t="shared" si="6"/>
        <v>0</v>
      </c>
    </row>
    <row r="113" spans="1:7">
      <c r="A113" s="1"/>
      <c r="B113" s="2"/>
      <c r="C113" s="25" t="s">
        <v>175</v>
      </c>
      <c r="D113" s="3"/>
      <c r="E113" s="59"/>
      <c r="F113" s="56"/>
      <c r="G113" s="77">
        <f>SUM(G105:G112)</f>
        <v>0</v>
      </c>
    </row>
    <row r="114" spans="1:7">
      <c r="A114" s="21" t="s">
        <v>176</v>
      </c>
      <c r="B114" s="22" t="s">
        <v>177</v>
      </c>
      <c r="C114" s="2"/>
      <c r="D114" s="3"/>
      <c r="E114" s="59"/>
      <c r="F114" s="56"/>
      <c r="G114" s="76"/>
    </row>
    <row r="115" spans="1:7">
      <c r="A115" s="67">
        <v>1</v>
      </c>
      <c r="B115" s="27" t="s">
        <v>178</v>
      </c>
      <c r="C115" s="27" t="s">
        <v>179</v>
      </c>
      <c r="D115" s="28" t="s">
        <v>180</v>
      </c>
      <c r="E115" s="66">
        <v>68</v>
      </c>
      <c r="F115" s="75"/>
      <c r="G115" s="76">
        <f t="shared" ref="G115:G127" si="7">E115*F115</f>
        <v>0</v>
      </c>
    </row>
    <row r="116" spans="1:7">
      <c r="A116" s="1">
        <f>+A115+1</f>
        <v>2</v>
      </c>
      <c r="B116" s="2" t="s">
        <v>181</v>
      </c>
      <c r="C116" s="2" t="s">
        <v>182</v>
      </c>
      <c r="D116" s="3" t="s">
        <v>158</v>
      </c>
      <c r="E116" s="59">
        <v>2</v>
      </c>
      <c r="F116" s="75"/>
      <c r="G116" s="76">
        <f t="shared" si="7"/>
        <v>0</v>
      </c>
    </row>
    <row r="117" spans="1:7">
      <c r="A117" s="1">
        <f>+A116+1</f>
        <v>3</v>
      </c>
      <c r="B117" s="2" t="s">
        <v>183</v>
      </c>
      <c r="C117" s="2" t="s">
        <v>182</v>
      </c>
      <c r="D117" s="3" t="s">
        <v>158</v>
      </c>
      <c r="E117" s="59">
        <v>2</v>
      </c>
      <c r="F117" s="75"/>
      <c r="G117" s="76">
        <f t="shared" si="7"/>
        <v>0</v>
      </c>
    </row>
    <row r="118" spans="1:7">
      <c r="A118" s="1">
        <v>4</v>
      </c>
      <c r="B118" s="2" t="s">
        <v>184</v>
      </c>
      <c r="C118" s="2" t="s">
        <v>185</v>
      </c>
      <c r="D118" s="3" t="s">
        <v>180</v>
      </c>
      <c r="E118" s="59">
        <v>12</v>
      </c>
      <c r="F118" s="75"/>
      <c r="G118" s="76">
        <f t="shared" si="7"/>
        <v>0</v>
      </c>
    </row>
    <row r="119" spans="1:7">
      <c r="A119" s="1">
        <v>5</v>
      </c>
      <c r="B119" s="2" t="s">
        <v>186</v>
      </c>
      <c r="C119" s="2" t="s">
        <v>182</v>
      </c>
      <c r="D119" s="3" t="s">
        <v>158</v>
      </c>
      <c r="E119" s="59">
        <v>12</v>
      </c>
      <c r="F119" s="75"/>
      <c r="G119" s="76">
        <f t="shared" si="7"/>
        <v>0</v>
      </c>
    </row>
    <row r="120" spans="1:7">
      <c r="A120" s="1">
        <v>6</v>
      </c>
      <c r="B120" s="2" t="s">
        <v>187</v>
      </c>
      <c r="C120" s="2" t="s">
        <v>188</v>
      </c>
      <c r="D120" s="3" t="s">
        <v>158</v>
      </c>
      <c r="E120" s="59">
        <v>46</v>
      </c>
      <c r="F120" s="75"/>
      <c r="G120" s="76">
        <f t="shared" si="7"/>
        <v>0</v>
      </c>
    </row>
    <row r="121" spans="1:7">
      <c r="A121" s="1">
        <v>7</v>
      </c>
      <c r="B121" s="2" t="s">
        <v>189</v>
      </c>
      <c r="C121" s="2" t="s">
        <v>190</v>
      </c>
      <c r="D121" s="3" t="s">
        <v>158</v>
      </c>
      <c r="E121" s="59">
        <v>9</v>
      </c>
      <c r="F121" s="75"/>
      <c r="G121" s="76">
        <f t="shared" si="7"/>
        <v>0</v>
      </c>
    </row>
    <row r="122" spans="1:7">
      <c r="A122" s="1">
        <v>8</v>
      </c>
      <c r="B122" s="2" t="s">
        <v>191</v>
      </c>
      <c r="C122" s="2"/>
      <c r="D122" s="3" t="s">
        <v>158</v>
      </c>
      <c r="E122" s="59">
        <v>5</v>
      </c>
      <c r="F122" s="75"/>
      <c r="G122" s="76">
        <f t="shared" si="7"/>
        <v>0</v>
      </c>
    </row>
    <row r="123" spans="1:7">
      <c r="A123" s="1">
        <v>9</v>
      </c>
      <c r="B123" s="2" t="s">
        <v>192</v>
      </c>
      <c r="C123" s="2" t="s">
        <v>185</v>
      </c>
      <c r="D123" s="3" t="s">
        <v>180</v>
      </c>
      <c r="E123" s="59">
        <v>1</v>
      </c>
      <c r="F123" s="75"/>
      <c r="G123" s="76">
        <f t="shared" si="7"/>
        <v>0</v>
      </c>
    </row>
    <row r="124" spans="1:7">
      <c r="A124" s="1">
        <v>10</v>
      </c>
      <c r="B124" s="2" t="s">
        <v>193</v>
      </c>
      <c r="C124" s="2" t="s">
        <v>194</v>
      </c>
      <c r="D124" s="3" t="s">
        <v>180</v>
      </c>
      <c r="E124" s="59">
        <v>18</v>
      </c>
      <c r="F124" s="75"/>
      <c r="G124" s="76">
        <f t="shared" si="7"/>
        <v>0</v>
      </c>
    </row>
    <row r="125" spans="1:7">
      <c r="A125" s="1">
        <v>11</v>
      </c>
      <c r="B125" s="2" t="s">
        <v>195</v>
      </c>
      <c r="C125" s="2" t="s">
        <v>196</v>
      </c>
      <c r="D125" s="3" t="s">
        <v>180</v>
      </c>
      <c r="E125" s="59">
        <v>5</v>
      </c>
      <c r="F125" s="75"/>
      <c r="G125" s="76">
        <f t="shared" si="7"/>
        <v>0</v>
      </c>
    </row>
    <row r="126" spans="1:7">
      <c r="A126" s="67">
        <v>12</v>
      </c>
      <c r="B126" s="27" t="s">
        <v>197</v>
      </c>
      <c r="C126" s="27" t="s">
        <v>198</v>
      </c>
      <c r="D126" s="28" t="s">
        <v>158</v>
      </c>
      <c r="E126" s="66">
        <v>10</v>
      </c>
      <c r="F126" s="75"/>
      <c r="G126" s="76">
        <f t="shared" si="7"/>
        <v>0</v>
      </c>
    </row>
    <row r="127" spans="1:7">
      <c r="A127" s="67">
        <v>13</v>
      </c>
      <c r="B127" s="27" t="s">
        <v>199</v>
      </c>
      <c r="C127" s="27" t="s">
        <v>200</v>
      </c>
      <c r="D127" s="28" t="s">
        <v>158</v>
      </c>
      <c r="E127" s="66">
        <v>10</v>
      </c>
      <c r="F127" s="75"/>
      <c r="G127" s="76">
        <f t="shared" si="7"/>
        <v>0</v>
      </c>
    </row>
    <row r="128" spans="1:7">
      <c r="A128" s="1"/>
      <c r="B128" s="2" t="s">
        <v>202</v>
      </c>
      <c r="C128" s="25" t="s">
        <v>203</v>
      </c>
      <c r="D128" s="3"/>
      <c r="E128" s="59"/>
      <c r="F128" s="56"/>
      <c r="G128" s="77">
        <f>SUM(G115:G125)</f>
        <v>0</v>
      </c>
    </row>
    <row r="129" spans="1:7">
      <c r="A129" s="21" t="s">
        <v>204</v>
      </c>
      <c r="B129" s="22" t="s">
        <v>205</v>
      </c>
      <c r="C129" s="2"/>
      <c r="D129" s="3"/>
      <c r="E129" s="59"/>
      <c r="F129" s="56"/>
      <c r="G129" s="76"/>
    </row>
    <row r="130" spans="1:7">
      <c r="A130" s="1">
        <v>1</v>
      </c>
      <c r="B130" s="2" t="s">
        <v>206</v>
      </c>
      <c r="C130" s="68" t="s">
        <v>207</v>
      </c>
      <c r="D130" s="3" t="s">
        <v>158</v>
      </c>
      <c r="E130" s="59">
        <v>1</v>
      </c>
      <c r="F130" s="75"/>
      <c r="G130" s="76">
        <f t="shared" ref="G130:G139" si="8">E130*F130</f>
        <v>0</v>
      </c>
    </row>
    <row r="131" spans="1:7">
      <c r="A131" s="1">
        <v>2</v>
      </c>
      <c r="B131" s="2" t="s">
        <v>208</v>
      </c>
      <c r="C131" s="68" t="s">
        <v>209</v>
      </c>
      <c r="D131" s="3" t="s">
        <v>158</v>
      </c>
      <c r="E131" s="59">
        <v>1</v>
      </c>
      <c r="F131" s="75"/>
      <c r="G131" s="76">
        <f t="shared" si="8"/>
        <v>0</v>
      </c>
    </row>
    <row r="132" spans="1:7">
      <c r="A132" s="1">
        <v>3</v>
      </c>
      <c r="B132" s="2" t="s">
        <v>210</v>
      </c>
      <c r="C132" s="2" t="s">
        <v>211</v>
      </c>
      <c r="D132" s="3" t="s">
        <v>158</v>
      </c>
      <c r="E132" s="59">
        <v>14</v>
      </c>
      <c r="F132" s="75"/>
      <c r="G132" s="76">
        <f t="shared" si="8"/>
        <v>0</v>
      </c>
    </row>
    <row r="133" spans="1:7">
      <c r="A133" s="1">
        <v>4</v>
      </c>
      <c r="B133" s="2" t="s">
        <v>212</v>
      </c>
      <c r="C133" s="2" t="s">
        <v>213</v>
      </c>
      <c r="D133" s="3" t="s">
        <v>158</v>
      </c>
      <c r="E133" s="59">
        <v>3</v>
      </c>
      <c r="F133" s="75"/>
      <c r="G133" s="76">
        <f t="shared" si="8"/>
        <v>0</v>
      </c>
    </row>
    <row r="134" spans="1:7">
      <c r="A134" s="1">
        <v>5</v>
      </c>
      <c r="B134" s="2" t="s">
        <v>214</v>
      </c>
      <c r="C134" s="68" t="s">
        <v>215</v>
      </c>
      <c r="D134" s="3" t="s">
        <v>158</v>
      </c>
      <c r="E134" s="59">
        <v>3</v>
      </c>
      <c r="F134" s="75"/>
      <c r="G134" s="76">
        <f t="shared" si="8"/>
        <v>0</v>
      </c>
    </row>
    <row r="135" spans="1:7">
      <c r="A135" s="1">
        <v>6</v>
      </c>
      <c r="B135" s="2" t="s">
        <v>216</v>
      </c>
      <c r="C135" s="68" t="s">
        <v>217</v>
      </c>
      <c r="D135" s="3" t="s">
        <v>158</v>
      </c>
      <c r="E135" s="59">
        <v>3</v>
      </c>
      <c r="F135" s="75"/>
      <c r="G135" s="76">
        <f>E135*F135</f>
        <v>0</v>
      </c>
    </row>
    <row r="136" spans="1:7">
      <c r="A136" s="1">
        <v>7</v>
      </c>
      <c r="B136" s="2" t="s">
        <v>218</v>
      </c>
      <c r="C136" s="68" t="s">
        <v>219</v>
      </c>
      <c r="D136" s="3" t="s">
        <v>158</v>
      </c>
      <c r="E136" s="59">
        <v>3</v>
      </c>
      <c r="F136" s="75"/>
      <c r="G136" s="76">
        <f t="shared" si="8"/>
        <v>0</v>
      </c>
    </row>
    <row r="137" spans="1:7">
      <c r="A137" s="1">
        <v>8</v>
      </c>
      <c r="B137" s="2" t="s">
        <v>220</v>
      </c>
      <c r="C137" s="68" t="s">
        <v>221</v>
      </c>
      <c r="D137" s="3" t="s">
        <v>158</v>
      </c>
      <c r="E137" s="59">
        <v>3</v>
      </c>
      <c r="F137" s="75"/>
      <c r="G137" s="76">
        <f t="shared" si="8"/>
        <v>0</v>
      </c>
    </row>
    <row r="138" spans="1:7">
      <c r="A138" s="1">
        <v>9</v>
      </c>
      <c r="B138" s="2" t="s">
        <v>316</v>
      </c>
      <c r="C138" s="2" t="s">
        <v>213</v>
      </c>
      <c r="D138" s="3" t="s">
        <v>158</v>
      </c>
      <c r="E138" s="59">
        <v>2</v>
      </c>
      <c r="F138" s="75"/>
      <c r="G138" s="76">
        <f t="shared" si="8"/>
        <v>0</v>
      </c>
    </row>
    <row r="139" spans="1:7">
      <c r="A139" s="1">
        <v>10</v>
      </c>
      <c r="B139" s="2" t="s">
        <v>317</v>
      </c>
      <c r="C139" s="68" t="s">
        <v>318</v>
      </c>
      <c r="D139" s="3" t="s">
        <v>158</v>
      </c>
      <c r="E139" s="59">
        <v>4</v>
      </c>
      <c r="F139" s="75"/>
      <c r="G139" s="76">
        <f t="shared" si="8"/>
        <v>0</v>
      </c>
    </row>
    <row r="140" spans="1:7">
      <c r="A140" s="1"/>
      <c r="B140" s="2"/>
      <c r="C140" s="25" t="s">
        <v>222</v>
      </c>
      <c r="D140" s="3"/>
      <c r="E140" s="59"/>
      <c r="F140" s="56"/>
      <c r="G140" s="77">
        <f>SUM(G130:G139)</f>
        <v>0</v>
      </c>
    </row>
    <row r="141" spans="1:7">
      <c r="A141" s="21" t="s">
        <v>223</v>
      </c>
      <c r="B141" s="22" t="s">
        <v>224</v>
      </c>
      <c r="C141" s="2"/>
      <c r="D141" s="3"/>
      <c r="E141" s="59"/>
      <c r="F141" s="56"/>
      <c r="G141" s="76"/>
    </row>
    <row r="142" spans="1:7">
      <c r="A142" s="1">
        <v>1</v>
      </c>
      <c r="B142" s="2" t="s">
        <v>225</v>
      </c>
      <c r="C142" s="2" t="s">
        <v>226</v>
      </c>
      <c r="D142" s="3" t="s">
        <v>42</v>
      </c>
      <c r="E142" s="59">
        <f>63*2</f>
        <v>126</v>
      </c>
      <c r="F142" s="75"/>
      <c r="G142" s="76">
        <f>E142*F142</f>
        <v>0</v>
      </c>
    </row>
    <row r="143" spans="1:7">
      <c r="A143" s="1">
        <v>2</v>
      </c>
      <c r="B143" s="2" t="s">
        <v>227</v>
      </c>
      <c r="C143" s="2" t="s">
        <v>228</v>
      </c>
      <c r="D143" s="3" t="s">
        <v>172</v>
      </c>
      <c r="E143" s="59">
        <v>5</v>
      </c>
      <c r="F143" s="75"/>
      <c r="G143" s="76">
        <f>E143*F143</f>
        <v>0</v>
      </c>
    </row>
    <row r="144" spans="1:7">
      <c r="A144" s="1">
        <v>3</v>
      </c>
      <c r="B144" s="2" t="s">
        <v>229</v>
      </c>
      <c r="C144" s="2" t="s">
        <v>331</v>
      </c>
      <c r="D144" s="3" t="s">
        <v>25</v>
      </c>
      <c r="E144" s="59">
        <f>79+10</f>
        <v>89</v>
      </c>
      <c r="F144" s="75"/>
      <c r="G144" s="76">
        <f t="shared" ref="G144:G162" si="9">E144*F144</f>
        <v>0</v>
      </c>
    </row>
    <row r="145" spans="1:7">
      <c r="A145" s="1">
        <v>4</v>
      </c>
      <c r="B145" s="2" t="s">
        <v>230</v>
      </c>
      <c r="C145" s="2" t="s">
        <v>231</v>
      </c>
      <c r="D145" s="3" t="s">
        <v>25</v>
      </c>
      <c r="E145" s="59">
        <v>300</v>
      </c>
      <c r="F145" s="75"/>
      <c r="G145" s="76">
        <f>E145*F145</f>
        <v>0</v>
      </c>
    </row>
    <row r="146" spans="1:7">
      <c r="A146" s="1">
        <v>5</v>
      </c>
      <c r="B146" s="2" t="s">
        <v>232</v>
      </c>
      <c r="C146" s="2" t="s">
        <v>233</v>
      </c>
      <c r="D146" s="3" t="s">
        <v>42</v>
      </c>
      <c r="E146" s="59">
        <v>6</v>
      </c>
      <c r="F146" s="75"/>
      <c r="G146" s="76">
        <f>E146*F146</f>
        <v>0</v>
      </c>
    </row>
    <row r="147" spans="1:7">
      <c r="A147" s="1"/>
      <c r="B147" s="2"/>
      <c r="C147" s="2"/>
      <c r="D147" s="3"/>
      <c r="E147" s="59"/>
      <c r="F147" s="75"/>
      <c r="G147" s="77">
        <f>SUM(G142:G146)</f>
        <v>0</v>
      </c>
    </row>
    <row r="148" spans="1:7">
      <c r="A148" s="1"/>
      <c r="B148" s="22" t="s">
        <v>234</v>
      </c>
      <c r="C148" s="2"/>
      <c r="D148" s="3"/>
      <c r="E148" s="59"/>
      <c r="F148" s="75"/>
      <c r="G148" s="76"/>
    </row>
    <row r="149" spans="1:7">
      <c r="A149" s="1">
        <v>5</v>
      </c>
      <c r="B149" s="2" t="s">
        <v>38</v>
      </c>
      <c r="C149" s="2" t="s">
        <v>235</v>
      </c>
      <c r="D149" s="3" t="s">
        <v>37</v>
      </c>
      <c r="E149" s="59">
        <f>0.5*0.5*0.3*4</f>
        <v>0.3</v>
      </c>
      <c r="F149" s="75"/>
      <c r="G149" s="76">
        <f t="shared" si="9"/>
        <v>0</v>
      </c>
    </row>
    <row r="150" spans="1:7">
      <c r="A150" s="1">
        <v>6</v>
      </c>
      <c r="B150" s="2" t="s">
        <v>236</v>
      </c>
      <c r="C150" s="2" t="s">
        <v>48</v>
      </c>
      <c r="D150" s="3" t="s">
        <v>37</v>
      </c>
      <c r="E150" s="59">
        <f>0.2*0.2*3*6</f>
        <v>0.7200000000000002</v>
      </c>
      <c r="F150" s="75"/>
      <c r="G150" s="76">
        <f t="shared" si="9"/>
        <v>0</v>
      </c>
    </row>
    <row r="151" spans="1:7">
      <c r="A151" s="1">
        <v>7</v>
      </c>
      <c r="B151" s="2" t="s">
        <v>237</v>
      </c>
      <c r="C151" s="2" t="s">
        <v>53</v>
      </c>
      <c r="D151" s="3" t="s">
        <v>37</v>
      </c>
      <c r="E151" s="59">
        <f>13*0.15*0.2</f>
        <v>0.39</v>
      </c>
      <c r="F151" s="75"/>
      <c r="G151" s="76">
        <f t="shared" si="9"/>
        <v>0</v>
      </c>
    </row>
    <row r="152" spans="1:7">
      <c r="A152" s="1">
        <v>8</v>
      </c>
      <c r="B152" s="2" t="s">
        <v>238</v>
      </c>
      <c r="C152" s="2" t="s">
        <v>239</v>
      </c>
      <c r="D152" s="3" t="s">
        <v>37</v>
      </c>
      <c r="E152" s="59">
        <f>3*6*0.07</f>
        <v>1.2600000000000002</v>
      </c>
      <c r="F152" s="75"/>
      <c r="G152" s="76">
        <f>E152*F152</f>
        <v>0</v>
      </c>
    </row>
    <row r="153" spans="1:7">
      <c r="A153" s="1">
        <v>9</v>
      </c>
      <c r="B153" s="2" t="s">
        <v>240</v>
      </c>
      <c r="C153" s="2" t="s">
        <v>241</v>
      </c>
      <c r="D153" s="3" t="s">
        <v>37</v>
      </c>
      <c r="E153" s="59">
        <f>13*0.15*0.25</f>
        <v>0.48749999999999999</v>
      </c>
      <c r="F153" s="75"/>
      <c r="G153" s="76">
        <f>E153*F153</f>
        <v>0</v>
      </c>
    </row>
    <row r="154" spans="1:7">
      <c r="A154" s="1">
        <v>10</v>
      </c>
      <c r="B154" s="2" t="s">
        <v>242</v>
      </c>
      <c r="C154" s="2" t="s">
        <v>243</v>
      </c>
      <c r="D154" s="3" t="s">
        <v>25</v>
      </c>
      <c r="E154" s="59">
        <v>56</v>
      </c>
      <c r="F154" s="75"/>
      <c r="G154" s="76">
        <f t="shared" si="9"/>
        <v>0</v>
      </c>
    </row>
    <row r="155" spans="1:7">
      <c r="A155" s="1">
        <v>11</v>
      </c>
      <c r="B155" s="2" t="s">
        <v>89</v>
      </c>
      <c r="C155" s="2" t="s">
        <v>90</v>
      </c>
      <c r="D155" s="3" t="s">
        <v>25</v>
      </c>
      <c r="E155" s="59">
        <v>56</v>
      </c>
      <c r="F155" s="75"/>
      <c r="G155" s="76">
        <f t="shared" si="9"/>
        <v>0</v>
      </c>
    </row>
    <row r="156" spans="1:7">
      <c r="A156" s="1">
        <v>12</v>
      </c>
      <c r="B156" s="2" t="s">
        <v>244</v>
      </c>
      <c r="C156" s="2" t="s">
        <v>245</v>
      </c>
      <c r="D156" s="3" t="s">
        <v>42</v>
      </c>
      <c r="E156" s="59">
        <f>1.6*0.4*6</f>
        <v>3.8400000000000007</v>
      </c>
      <c r="F156" s="75"/>
      <c r="G156" s="76">
        <f t="shared" si="9"/>
        <v>0</v>
      </c>
    </row>
    <row r="157" spans="1:7">
      <c r="A157" s="1">
        <v>13</v>
      </c>
      <c r="B157" s="2" t="s">
        <v>246</v>
      </c>
      <c r="C157" s="2" t="s">
        <v>74</v>
      </c>
      <c r="D157" s="3" t="s">
        <v>25</v>
      </c>
      <c r="E157" s="59">
        <f>2.5*6</f>
        <v>15</v>
      </c>
      <c r="F157" s="75"/>
      <c r="G157" s="76">
        <f t="shared" si="9"/>
        <v>0</v>
      </c>
    </row>
    <row r="158" spans="1:7">
      <c r="A158" s="1">
        <v>14</v>
      </c>
      <c r="B158" s="2" t="s">
        <v>247</v>
      </c>
      <c r="C158" s="2" t="s">
        <v>76</v>
      </c>
      <c r="D158" s="3" t="s">
        <v>25</v>
      </c>
      <c r="E158" s="59">
        <f>E157</f>
        <v>15</v>
      </c>
      <c r="F158" s="75"/>
      <c r="G158" s="76">
        <f t="shared" si="9"/>
        <v>0</v>
      </c>
    </row>
    <row r="159" spans="1:7">
      <c r="A159" s="1">
        <v>15</v>
      </c>
      <c r="B159" s="2" t="s">
        <v>248</v>
      </c>
      <c r="C159" s="2" t="s">
        <v>249</v>
      </c>
      <c r="D159" s="3" t="s">
        <v>25</v>
      </c>
      <c r="E159" s="59">
        <v>46</v>
      </c>
      <c r="F159" s="79"/>
      <c r="G159" s="76">
        <f t="shared" si="9"/>
        <v>0</v>
      </c>
    </row>
    <row r="160" spans="1:7">
      <c r="A160" s="1">
        <v>16</v>
      </c>
      <c r="B160" s="2" t="s">
        <v>250</v>
      </c>
      <c r="C160" s="2" t="s">
        <v>179</v>
      </c>
      <c r="D160" s="3" t="s">
        <v>25</v>
      </c>
      <c r="E160" s="59">
        <v>2</v>
      </c>
      <c r="F160" s="81"/>
      <c r="G160" s="76">
        <f t="shared" si="9"/>
        <v>0</v>
      </c>
    </row>
    <row r="161" spans="1:7">
      <c r="A161" s="1">
        <v>17</v>
      </c>
      <c r="B161" s="2" t="s">
        <v>251</v>
      </c>
      <c r="C161" s="2" t="s">
        <v>185</v>
      </c>
      <c r="D161" s="3" t="s">
        <v>180</v>
      </c>
      <c r="E161" s="59">
        <v>2</v>
      </c>
      <c r="F161" s="75"/>
      <c r="G161" s="76">
        <f t="shared" si="9"/>
        <v>0</v>
      </c>
    </row>
    <row r="162" spans="1:7">
      <c r="A162" s="1">
        <v>18</v>
      </c>
      <c r="B162" s="2" t="s">
        <v>252</v>
      </c>
      <c r="C162" s="2" t="s">
        <v>154</v>
      </c>
      <c r="D162" s="3" t="s">
        <v>25</v>
      </c>
      <c r="E162" s="59">
        <v>2</v>
      </c>
      <c r="F162" s="75"/>
      <c r="G162" s="76">
        <f t="shared" si="9"/>
        <v>0</v>
      </c>
    </row>
    <row r="163" spans="1:7">
      <c r="A163" s="1">
        <v>19</v>
      </c>
      <c r="B163" s="2" t="s">
        <v>332</v>
      </c>
      <c r="C163" s="2" t="s">
        <v>253</v>
      </c>
      <c r="D163" s="3" t="s">
        <v>37</v>
      </c>
      <c r="E163" s="59">
        <f>4*10*1.2</f>
        <v>48</v>
      </c>
      <c r="F163" s="75"/>
      <c r="G163" s="76">
        <f>E163*F163</f>
        <v>0</v>
      </c>
    </row>
    <row r="164" spans="1:7">
      <c r="A164" s="1">
        <v>20</v>
      </c>
      <c r="B164" s="2" t="s">
        <v>333</v>
      </c>
      <c r="C164" s="2" t="s">
        <v>334</v>
      </c>
      <c r="D164" s="3" t="s">
        <v>37</v>
      </c>
      <c r="E164" s="59">
        <f>3*6*0.15</f>
        <v>2.6999999999999997</v>
      </c>
      <c r="F164" s="75"/>
      <c r="G164" s="76">
        <f>E164*F164</f>
        <v>0</v>
      </c>
    </row>
    <row r="165" spans="1:7">
      <c r="A165" s="1">
        <v>21</v>
      </c>
      <c r="B165" s="2" t="s">
        <v>335</v>
      </c>
      <c r="C165" s="2"/>
      <c r="D165" s="3" t="s">
        <v>25</v>
      </c>
      <c r="E165" s="59">
        <v>66</v>
      </c>
      <c r="F165" s="75"/>
      <c r="G165" s="76">
        <f>E165*F165</f>
        <v>0</v>
      </c>
    </row>
    <row r="166" spans="1:7">
      <c r="A166" s="1">
        <v>22</v>
      </c>
      <c r="B166" s="2" t="s">
        <v>336</v>
      </c>
      <c r="C166" s="2"/>
      <c r="D166" s="3" t="s">
        <v>25</v>
      </c>
      <c r="E166" s="59">
        <v>66</v>
      </c>
      <c r="F166" s="75"/>
      <c r="G166" s="76">
        <f>E166*F166</f>
        <v>0</v>
      </c>
    </row>
    <row r="167" spans="1:7">
      <c r="A167" s="1">
        <v>23</v>
      </c>
      <c r="B167" s="2" t="s">
        <v>337</v>
      </c>
      <c r="C167" s="2"/>
      <c r="D167" s="3" t="s">
        <v>201</v>
      </c>
      <c r="E167" s="59">
        <v>1</v>
      </c>
      <c r="F167" s="75"/>
      <c r="G167" s="76">
        <f>E167*F167</f>
        <v>0</v>
      </c>
    </row>
    <row r="168" spans="1:7">
      <c r="A168" s="1"/>
      <c r="B168" s="2"/>
      <c r="C168" s="2"/>
      <c r="D168" s="3"/>
      <c r="E168" s="59"/>
      <c r="F168" s="75"/>
      <c r="G168" s="77">
        <f>SUM(G149:G163)+G164+G165+G166+G167</f>
        <v>0</v>
      </c>
    </row>
    <row r="169" spans="1:7">
      <c r="A169" s="1"/>
      <c r="B169" s="22" t="s">
        <v>254</v>
      </c>
      <c r="C169" s="2"/>
      <c r="D169" s="3"/>
      <c r="E169" s="59"/>
      <c r="F169" s="75"/>
      <c r="G169" s="76"/>
    </row>
    <row r="170" spans="1:7">
      <c r="A170" s="1">
        <v>20</v>
      </c>
      <c r="B170" s="2" t="s">
        <v>255</v>
      </c>
      <c r="C170" s="2" t="s">
        <v>62</v>
      </c>
      <c r="D170" s="69"/>
      <c r="E170" s="59">
        <f>2.5*2.5*0.15</f>
        <v>0.9375</v>
      </c>
      <c r="F170" s="75"/>
      <c r="G170" s="76">
        <f t="shared" ref="G170:G182" si="10">E170*F170</f>
        <v>0</v>
      </c>
    </row>
    <row r="171" spans="1:7">
      <c r="A171" s="1">
        <v>21</v>
      </c>
      <c r="B171" s="2" t="s">
        <v>256</v>
      </c>
      <c r="C171" s="2" t="s">
        <v>257</v>
      </c>
      <c r="D171" s="3" t="s">
        <v>37</v>
      </c>
      <c r="E171" s="59">
        <f>10*1.5*0.2</f>
        <v>3</v>
      </c>
      <c r="F171" s="75"/>
      <c r="G171" s="76">
        <f t="shared" si="10"/>
        <v>0</v>
      </c>
    </row>
    <row r="172" spans="1:7">
      <c r="A172" s="1">
        <v>22</v>
      </c>
      <c r="B172" s="2" t="s">
        <v>238</v>
      </c>
      <c r="C172" s="2" t="s">
        <v>56</v>
      </c>
      <c r="D172" s="3" t="s">
        <v>37</v>
      </c>
      <c r="E172" s="59">
        <f>2.5*2.5*0.12</f>
        <v>0.75</v>
      </c>
      <c r="F172" s="75"/>
      <c r="G172" s="76">
        <f t="shared" si="10"/>
        <v>0</v>
      </c>
    </row>
    <row r="173" spans="1:7">
      <c r="A173" s="1">
        <v>23</v>
      </c>
      <c r="B173" s="2" t="s">
        <v>236</v>
      </c>
      <c r="C173" s="2" t="s">
        <v>48</v>
      </c>
      <c r="D173" s="3" t="s">
        <v>37</v>
      </c>
      <c r="E173" s="59">
        <f>0.2*0.2*3*4</f>
        <v>0.48000000000000009</v>
      </c>
      <c r="F173" s="75"/>
      <c r="G173" s="76">
        <f t="shared" si="10"/>
        <v>0</v>
      </c>
    </row>
    <row r="174" spans="1:7">
      <c r="A174" s="1">
        <v>24</v>
      </c>
      <c r="B174" s="2" t="s">
        <v>237</v>
      </c>
      <c r="C174" s="2" t="s">
        <v>53</v>
      </c>
      <c r="D174" s="3" t="s">
        <v>37</v>
      </c>
      <c r="E174" s="59">
        <f>10*0.15*0.2</f>
        <v>0.30000000000000004</v>
      </c>
      <c r="F174" s="75"/>
      <c r="G174" s="76">
        <f t="shared" si="10"/>
        <v>0</v>
      </c>
    </row>
    <row r="175" spans="1:7">
      <c r="A175" s="1">
        <v>25</v>
      </c>
      <c r="B175" s="2" t="s">
        <v>240</v>
      </c>
      <c r="C175" s="2" t="s">
        <v>241</v>
      </c>
      <c r="D175" s="3" t="s">
        <v>37</v>
      </c>
      <c r="E175" s="59">
        <f>10*0.15*0.25</f>
        <v>0.375</v>
      </c>
      <c r="F175" s="75"/>
      <c r="G175" s="76">
        <f t="shared" si="10"/>
        <v>0</v>
      </c>
    </row>
    <row r="176" spans="1:7">
      <c r="A176" s="1">
        <v>26</v>
      </c>
      <c r="B176" s="2" t="s">
        <v>242</v>
      </c>
      <c r="C176" s="2" t="s">
        <v>243</v>
      </c>
      <c r="D176" s="3" t="s">
        <v>25</v>
      </c>
      <c r="E176" s="59">
        <v>20</v>
      </c>
      <c r="F176" s="75"/>
      <c r="G176" s="76">
        <f t="shared" si="10"/>
        <v>0</v>
      </c>
    </row>
    <row r="177" spans="1:7">
      <c r="A177" s="1">
        <v>27</v>
      </c>
      <c r="B177" s="2" t="s">
        <v>89</v>
      </c>
      <c r="C177" s="2" t="s">
        <v>90</v>
      </c>
      <c r="D177" s="3" t="s">
        <v>25</v>
      </c>
      <c r="E177" s="59">
        <v>20</v>
      </c>
      <c r="F177" s="75"/>
      <c r="G177" s="76">
        <f t="shared" si="10"/>
        <v>0</v>
      </c>
    </row>
    <row r="178" spans="1:7">
      <c r="A178" s="1">
        <v>28</v>
      </c>
      <c r="B178" s="2" t="s">
        <v>244</v>
      </c>
      <c r="C178" s="2" t="s">
        <v>245</v>
      </c>
      <c r="D178" s="3" t="s">
        <v>42</v>
      </c>
      <c r="E178" s="59">
        <f>1.6*0.4*4</f>
        <v>2.5600000000000005</v>
      </c>
      <c r="F178" s="75"/>
      <c r="G178" s="76">
        <f t="shared" si="10"/>
        <v>0</v>
      </c>
    </row>
    <row r="179" spans="1:7">
      <c r="A179" s="1">
        <v>29</v>
      </c>
      <c r="B179" s="2" t="s">
        <v>246</v>
      </c>
      <c r="C179" s="2" t="s">
        <v>74</v>
      </c>
      <c r="D179" s="3" t="s">
        <v>25</v>
      </c>
      <c r="E179" s="59">
        <f>2.5*4</f>
        <v>10</v>
      </c>
      <c r="F179" s="75"/>
      <c r="G179" s="76">
        <f t="shared" si="10"/>
        <v>0</v>
      </c>
    </row>
    <row r="180" spans="1:7">
      <c r="A180" s="1">
        <v>30</v>
      </c>
      <c r="B180" s="2" t="s">
        <v>247</v>
      </c>
      <c r="C180" s="2" t="s">
        <v>76</v>
      </c>
      <c r="D180" s="3" t="s">
        <v>25</v>
      </c>
      <c r="E180" s="59">
        <f>E179</f>
        <v>10</v>
      </c>
      <c r="F180" s="75"/>
      <c r="G180" s="76">
        <f t="shared" si="10"/>
        <v>0</v>
      </c>
    </row>
    <row r="181" spans="1:7">
      <c r="A181" s="1">
        <v>31</v>
      </c>
      <c r="B181" s="2" t="s">
        <v>248</v>
      </c>
      <c r="C181" s="2" t="s">
        <v>249</v>
      </c>
      <c r="D181" s="3" t="s">
        <v>25</v>
      </c>
      <c r="E181" s="59">
        <v>20</v>
      </c>
      <c r="F181" s="79"/>
      <c r="G181" s="76">
        <f t="shared" si="10"/>
        <v>0</v>
      </c>
    </row>
    <row r="182" spans="1:7">
      <c r="A182" s="1">
        <v>32</v>
      </c>
      <c r="B182" s="2" t="s">
        <v>250</v>
      </c>
      <c r="C182" s="2" t="s">
        <v>179</v>
      </c>
      <c r="D182" s="3" t="s">
        <v>25</v>
      </c>
      <c r="E182" s="59">
        <v>1</v>
      </c>
      <c r="F182" s="81"/>
      <c r="G182" s="76">
        <f t="shared" si="10"/>
        <v>0</v>
      </c>
    </row>
    <row r="183" spans="1:7">
      <c r="A183" s="1">
        <v>33</v>
      </c>
      <c r="B183" s="2" t="s">
        <v>251</v>
      </c>
      <c r="C183" s="2" t="s">
        <v>185</v>
      </c>
      <c r="D183" s="3" t="s">
        <v>180</v>
      </c>
      <c r="E183" s="59">
        <v>2</v>
      </c>
      <c r="F183" s="75"/>
      <c r="G183" s="76">
        <f>E183*F183</f>
        <v>0</v>
      </c>
    </row>
    <row r="184" spans="1:7">
      <c r="A184" s="1">
        <v>34</v>
      </c>
      <c r="B184" s="2" t="s">
        <v>252</v>
      </c>
      <c r="C184" s="2" t="s">
        <v>154</v>
      </c>
      <c r="D184" s="3" t="s">
        <v>25</v>
      </c>
      <c r="E184" s="59">
        <v>2</v>
      </c>
      <c r="F184" s="75"/>
      <c r="G184" s="76">
        <f>E184*F184</f>
        <v>0</v>
      </c>
    </row>
    <row r="185" spans="1:7">
      <c r="A185" s="1"/>
      <c r="B185" s="2"/>
      <c r="C185" s="2"/>
      <c r="D185" s="3"/>
      <c r="E185" s="59"/>
      <c r="F185" s="75"/>
      <c r="G185" s="77">
        <f>SUM(G170:G184)</f>
        <v>0</v>
      </c>
    </row>
    <row r="186" spans="1:7">
      <c r="A186" s="1"/>
      <c r="B186" s="22" t="s">
        <v>258</v>
      </c>
      <c r="C186" s="2"/>
      <c r="D186" s="3"/>
      <c r="E186" s="59"/>
      <c r="F186" s="75"/>
      <c r="G186" s="76"/>
    </row>
    <row r="187" spans="1:7">
      <c r="A187" s="1">
        <v>35</v>
      </c>
      <c r="B187" s="2" t="s">
        <v>38</v>
      </c>
      <c r="C187" s="2" t="s">
        <v>235</v>
      </c>
      <c r="D187" s="3" t="s">
        <v>37</v>
      </c>
      <c r="E187" s="59">
        <f>0.5*0.5*0.3*4</f>
        <v>0.3</v>
      </c>
      <c r="F187" s="75"/>
      <c r="G187" s="76">
        <f>E187*F187</f>
        <v>0</v>
      </c>
    </row>
    <row r="188" spans="1:7">
      <c r="A188" s="1">
        <v>36</v>
      </c>
      <c r="B188" s="2" t="s">
        <v>43</v>
      </c>
      <c r="C188" s="2" t="s">
        <v>259</v>
      </c>
      <c r="D188" s="3" t="s">
        <v>37</v>
      </c>
      <c r="E188" s="59">
        <f>8*0.15*0.4</f>
        <v>0.48</v>
      </c>
      <c r="F188" s="75"/>
      <c r="G188" s="76">
        <f>E188*F188</f>
        <v>0</v>
      </c>
    </row>
    <row r="189" spans="1:7">
      <c r="A189" s="1">
        <v>37</v>
      </c>
      <c r="B189" s="2" t="s">
        <v>236</v>
      </c>
      <c r="C189" s="2" t="s">
        <v>48</v>
      </c>
      <c r="D189" s="3" t="s">
        <v>37</v>
      </c>
      <c r="E189" s="59">
        <f>0.15*0.15*3*4</f>
        <v>0.27</v>
      </c>
      <c r="F189" s="75"/>
      <c r="G189" s="76">
        <f>E189*F189</f>
        <v>0</v>
      </c>
    </row>
    <row r="190" spans="1:7">
      <c r="A190" s="1">
        <v>38</v>
      </c>
      <c r="B190" s="2" t="s">
        <v>240</v>
      </c>
      <c r="C190" s="2" t="s">
        <v>53</v>
      </c>
      <c r="D190" s="3" t="s">
        <v>37</v>
      </c>
      <c r="E190" s="59">
        <f>8*0.15*0.2</f>
        <v>0.24</v>
      </c>
      <c r="F190" s="75"/>
      <c r="G190" s="76">
        <f>E190*F190</f>
        <v>0</v>
      </c>
    </row>
    <row r="191" spans="1:7">
      <c r="A191" s="1">
        <v>39</v>
      </c>
      <c r="B191" s="2" t="s">
        <v>260</v>
      </c>
      <c r="C191" s="2" t="s">
        <v>261</v>
      </c>
      <c r="D191" s="3" t="s">
        <v>42</v>
      </c>
      <c r="E191" s="59">
        <f>7*2.5</f>
        <v>17.5</v>
      </c>
      <c r="F191" s="75"/>
      <c r="G191" s="76">
        <f t="shared" ref="G191:G198" si="11">E191*F191</f>
        <v>0</v>
      </c>
    </row>
    <row r="192" spans="1:7">
      <c r="A192" s="1">
        <v>40</v>
      </c>
      <c r="B192" s="2" t="s">
        <v>73</v>
      </c>
      <c r="C192" s="2" t="s">
        <v>74</v>
      </c>
      <c r="D192" s="3" t="s">
        <v>25</v>
      </c>
      <c r="E192" s="59">
        <f>E191*2</f>
        <v>35</v>
      </c>
      <c r="F192" s="75"/>
      <c r="G192" s="76">
        <f>E192*F192</f>
        <v>0</v>
      </c>
    </row>
    <row r="193" spans="1:7">
      <c r="A193" s="1">
        <v>41</v>
      </c>
      <c r="B193" s="2" t="s">
        <v>75</v>
      </c>
      <c r="C193" s="2" t="s">
        <v>76</v>
      </c>
      <c r="D193" s="3" t="s">
        <v>25</v>
      </c>
      <c r="E193" s="59">
        <f>E192</f>
        <v>35</v>
      </c>
      <c r="F193" s="75"/>
      <c r="G193" s="76">
        <f>E193*F193</f>
        <v>0</v>
      </c>
    </row>
    <row r="194" spans="1:7">
      <c r="A194" s="1">
        <v>42</v>
      </c>
      <c r="B194" s="2" t="s">
        <v>55</v>
      </c>
      <c r="C194" s="2" t="s">
        <v>56</v>
      </c>
      <c r="D194" s="3" t="s">
        <v>37</v>
      </c>
      <c r="E194" s="59">
        <f>3*3*0.12</f>
        <v>1.08</v>
      </c>
      <c r="F194" s="75"/>
      <c r="G194" s="76">
        <f t="shared" si="11"/>
        <v>0</v>
      </c>
    </row>
    <row r="195" spans="1:7">
      <c r="A195" s="1">
        <v>43</v>
      </c>
      <c r="B195" s="2" t="s">
        <v>96</v>
      </c>
      <c r="C195" s="2" t="s">
        <v>97</v>
      </c>
      <c r="D195" s="3" t="s">
        <v>25</v>
      </c>
      <c r="E195" s="59">
        <v>9</v>
      </c>
      <c r="F195" s="75"/>
      <c r="G195" s="76">
        <f t="shared" si="11"/>
        <v>0</v>
      </c>
    </row>
    <row r="196" spans="1:7">
      <c r="A196" s="1">
        <v>44</v>
      </c>
      <c r="B196" s="2" t="s">
        <v>248</v>
      </c>
      <c r="C196" s="2" t="s">
        <v>249</v>
      </c>
      <c r="D196" s="3" t="s">
        <v>25</v>
      </c>
      <c r="E196" s="59">
        <v>5</v>
      </c>
      <c r="F196" s="79"/>
      <c r="G196" s="76">
        <f t="shared" si="11"/>
        <v>0</v>
      </c>
    </row>
    <row r="197" spans="1:7">
      <c r="A197" s="1">
        <v>45</v>
      </c>
      <c r="B197" s="70" t="s">
        <v>262</v>
      </c>
      <c r="C197" s="2" t="s">
        <v>263</v>
      </c>
      <c r="D197" s="3" t="s">
        <v>201</v>
      </c>
      <c r="E197" s="59">
        <v>1</v>
      </c>
      <c r="F197" s="75"/>
      <c r="G197" s="76">
        <f t="shared" si="11"/>
        <v>0</v>
      </c>
    </row>
    <row r="198" spans="1:7">
      <c r="A198" s="1">
        <v>46</v>
      </c>
      <c r="B198" s="70" t="s">
        <v>264</v>
      </c>
      <c r="C198" s="2" t="s">
        <v>265</v>
      </c>
      <c r="D198" s="3" t="s">
        <v>201</v>
      </c>
      <c r="E198" s="59">
        <v>1</v>
      </c>
      <c r="F198" s="75"/>
      <c r="G198" s="76">
        <f t="shared" si="11"/>
        <v>0</v>
      </c>
    </row>
    <row r="199" spans="1:7">
      <c r="A199" s="1">
        <v>47</v>
      </c>
      <c r="B199" s="2" t="s">
        <v>153</v>
      </c>
      <c r="C199" s="2" t="s">
        <v>154</v>
      </c>
      <c r="D199" s="3" t="s">
        <v>25</v>
      </c>
      <c r="E199" s="59">
        <v>18</v>
      </c>
      <c r="F199" s="75"/>
      <c r="G199" s="76">
        <f>E199*F199</f>
        <v>0</v>
      </c>
    </row>
    <row r="200" spans="1:7">
      <c r="A200" s="1">
        <v>48</v>
      </c>
      <c r="B200" s="2" t="s">
        <v>151</v>
      </c>
      <c r="C200" s="2" t="s">
        <v>152</v>
      </c>
      <c r="D200" s="3" t="s">
        <v>25</v>
      </c>
      <c r="E200" s="59">
        <v>16</v>
      </c>
      <c r="F200" s="75"/>
      <c r="G200" s="76">
        <f>E200*F200</f>
        <v>0</v>
      </c>
    </row>
    <row r="201" spans="1:7">
      <c r="A201" s="1">
        <v>49</v>
      </c>
      <c r="B201" s="2" t="s">
        <v>266</v>
      </c>
      <c r="C201" s="2" t="s">
        <v>152</v>
      </c>
      <c r="D201" s="3" t="s">
        <v>25</v>
      </c>
      <c r="E201" s="59">
        <v>4</v>
      </c>
      <c r="F201" s="75"/>
      <c r="G201" s="76">
        <f>E201*F201</f>
        <v>0</v>
      </c>
    </row>
    <row r="202" spans="1:7">
      <c r="A202" s="1"/>
      <c r="B202" s="70"/>
      <c r="C202" s="2"/>
      <c r="D202" s="3"/>
      <c r="E202" s="59"/>
      <c r="F202" s="75"/>
      <c r="G202" s="77">
        <f>SUM(G187:G201)</f>
        <v>0</v>
      </c>
    </row>
    <row r="203" spans="1:7">
      <c r="A203" s="1"/>
      <c r="B203" s="70"/>
      <c r="C203" s="25" t="s">
        <v>267</v>
      </c>
      <c r="D203" s="3"/>
      <c r="E203" s="59"/>
      <c r="F203" s="56"/>
      <c r="G203" s="77">
        <f>G147+G168+G202+G185</f>
        <v>0</v>
      </c>
    </row>
    <row r="204" spans="1:7">
      <c r="A204" s="1"/>
      <c r="B204" s="70"/>
      <c r="C204" s="25"/>
      <c r="D204" s="3"/>
      <c r="E204" s="59"/>
      <c r="F204" s="56"/>
      <c r="G204" s="77"/>
    </row>
    <row r="205" spans="1:7">
      <c r="A205" s="1"/>
      <c r="B205" s="30" t="s">
        <v>338</v>
      </c>
      <c r="C205" s="25"/>
      <c r="D205" s="3"/>
      <c r="E205" s="59"/>
      <c r="F205" s="56"/>
      <c r="G205" s="82">
        <f>G21+G27+G40+G44+G54+G65+G70+G83+G91+G95+G103+G113+G128+G140+G203</f>
        <v>0</v>
      </c>
    </row>
    <row r="206" spans="1:7">
      <c r="A206" s="31"/>
      <c r="B206" s="32" t="s">
        <v>268</v>
      </c>
      <c r="C206" s="33"/>
      <c r="D206" s="34"/>
      <c r="E206" s="71"/>
      <c r="F206" s="57"/>
      <c r="G206" s="83"/>
    </row>
    <row r="207" spans="1:7" ht="14.7" thickBot="1">
      <c r="A207" s="36"/>
      <c r="B207" s="37"/>
      <c r="C207" s="38"/>
      <c r="D207" s="39"/>
      <c r="E207" s="72"/>
      <c r="F207" s="58"/>
      <c r="G207" s="84"/>
    </row>
    <row r="208" spans="1:7">
      <c r="A208" s="11"/>
      <c r="B208" s="11"/>
      <c r="C208" s="11"/>
      <c r="D208" s="11"/>
      <c r="E208" s="11"/>
      <c r="F208" s="11"/>
      <c r="G208" s="11"/>
    </row>
    <row r="209" spans="1:7">
      <c r="A209" s="11"/>
      <c r="B209" s="41" t="s">
        <v>269</v>
      </c>
      <c r="C209" s="11"/>
      <c r="D209" s="11"/>
      <c r="E209" s="11"/>
      <c r="F209" s="11"/>
      <c r="G209" s="86"/>
    </row>
    <row r="210" spans="1:7">
      <c r="A210" s="11">
        <v>1</v>
      </c>
      <c r="B210" s="11" t="s">
        <v>270</v>
      </c>
      <c r="C210" s="11"/>
      <c r="D210" s="11"/>
      <c r="E210" s="11"/>
      <c r="F210" s="11"/>
      <c r="G210" s="11"/>
    </row>
    <row r="211" spans="1:7">
      <c r="A211" s="11">
        <v>2</v>
      </c>
      <c r="B211" s="11" t="s">
        <v>271</v>
      </c>
      <c r="C211" s="11"/>
      <c r="D211" s="11"/>
      <c r="E211" s="11"/>
      <c r="F211" s="11"/>
      <c r="G211" s="11"/>
    </row>
    <row r="212" spans="1:7">
      <c r="A212" s="11">
        <v>3</v>
      </c>
      <c r="B212" s="11" t="s">
        <v>272</v>
      </c>
      <c r="C212" s="11"/>
      <c r="D212" s="11"/>
      <c r="E212" s="11"/>
      <c r="F212" s="11"/>
      <c r="G212" s="11"/>
    </row>
    <row r="213" spans="1:7">
      <c r="A213" s="11"/>
      <c r="B213" s="43"/>
      <c r="C213" s="11"/>
      <c r="D213" s="11"/>
      <c r="E213" s="11"/>
      <c r="F213" s="11"/>
      <c r="G213" s="11"/>
    </row>
    <row r="214" spans="1:7">
      <c r="A214" s="11"/>
      <c r="B214" s="43"/>
      <c r="C214" s="11"/>
      <c r="D214" s="11"/>
      <c r="E214" s="11"/>
      <c r="F214" s="11"/>
      <c r="G214" s="11"/>
    </row>
    <row r="215" spans="1:7">
      <c r="A215" s="11"/>
      <c r="B215" s="11"/>
      <c r="C215" s="11"/>
      <c r="D215" s="11"/>
      <c r="E215" s="11"/>
      <c r="F215" s="11"/>
      <c r="G215" s="11"/>
    </row>
  </sheetData>
  <sheetProtection algorithmName="SHA-512" hashValue="YeC+HhGnQv9vUz1tfn/Bt/JKskcLVOkBWWoZZs2zu1vtLoLcBSrVpWkyXEpcd2eUGJm9IVbJa7HulOrOp9kNcQ==" saltValue="qpusHbGixj461vHpWd/b5Q==" spinCount="100000" sheet="1" objects="1" scenarios="1" formatCells="0"/>
  <mergeCells count="6">
    <mergeCell ref="G8:G9"/>
    <mergeCell ref="A8:A9"/>
    <mergeCell ref="B8:B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C7DB-E39F-4465-9BF5-DA6CC0D8A268}">
  <dimension ref="A1:O58"/>
  <sheetViews>
    <sheetView workbookViewId="0">
      <selection activeCell="E28" sqref="E28"/>
    </sheetView>
  </sheetViews>
  <sheetFormatPr defaultRowHeight="14.4"/>
  <cols>
    <col min="1" max="1" width="5.9453125" customWidth="1"/>
    <col min="2" max="2" width="28.26171875" customWidth="1"/>
    <col min="3" max="3" width="30.05078125" customWidth="1"/>
    <col min="4" max="4" width="6.89453125" customWidth="1"/>
    <col min="5" max="5" width="10.41796875" bestFit="1" customWidth="1"/>
    <col min="6" max="6" width="10.89453125" bestFit="1" customWidth="1"/>
    <col min="7" max="7" width="18.26171875" customWidth="1"/>
    <col min="257" max="257" width="5.9453125" customWidth="1"/>
    <col min="258" max="258" width="28.26171875" customWidth="1"/>
    <col min="259" max="259" width="30.05078125" customWidth="1"/>
    <col min="260" max="260" width="6.89453125" customWidth="1"/>
    <col min="261" max="261" width="10.41796875" bestFit="1" customWidth="1"/>
    <col min="262" max="262" width="10.26171875" customWidth="1"/>
    <col min="263" max="263" width="18.26171875" customWidth="1"/>
    <col min="513" max="513" width="5.9453125" customWidth="1"/>
    <col min="514" max="514" width="28.26171875" customWidth="1"/>
    <col min="515" max="515" width="30.05078125" customWidth="1"/>
    <col min="516" max="516" width="6.89453125" customWidth="1"/>
    <col min="517" max="517" width="10.41796875" bestFit="1" customWidth="1"/>
    <col min="518" max="518" width="10.26171875" customWidth="1"/>
    <col min="519" max="519" width="18.26171875" customWidth="1"/>
    <col min="769" max="769" width="5.9453125" customWidth="1"/>
    <col min="770" max="770" width="28.26171875" customWidth="1"/>
    <col min="771" max="771" width="30.05078125" customWidth="1"/>
    <col min="772" max="772" width="6.89453125" customWidth="1"/>
    <col min="773" max="773" width="10.41796875" bestFit="1" customWidth="1"/>
    <col min="774" max="774" width="10.26171875" customWidth="1"/>
    <col min="775" max="775" width="18.26171875" customWidth="1"/>
    <col min="1025" max="1025" width="5.9453125" customWidth="1"/>
    <col min="1026" max="1026" width="28.26171875" customWidth="1"/>
    <col min="1027" max="1027" width="30.05078125" customWidth="1"/>
    <col min="1028" max="1028" width="6.89453125" customWidth="1"/>
    <col min="1029" max="1029" width="10.41796875" bestFit="1" customWidth="1"/>
    <col min="1030" max="1030" width="10.26171875" customWidth="1"/>
    <col min="1031" max="1031" width="18.26171875" customWidth="1"/>
    <col min="1281" max="1281" width="5.9453125" customWidth="1"/>
    <col min="1282" max="1282" width="28.26171875" customWidth="1"/>
    <col min="1283" max="1283" width="30.05078125" customWidth="1"/>
    <col min="1284" max="1284" width="6.89453125" customWidth="1"/>
    <col min="1285" max="1285" width="10.41796875" bestFit="1" customWidth="1"/>
    <col min="1286" max="1286" width="10.26171875" customWidth="1"/>
    <col min="1287" max="1287" width="18.26171875" customWidth="1"/>
    <col min="1537" max="1537" width="5.9453125" customWidth="1"/>
    <col min="1538" max="1538" width="28.26171875" customWidth="1"/>
    <col min="1539" max="1539" width="30.05078125" customWidth="1"/>
    <col min="1540" max="1540" width="6.89453125" customWidth="1"/>
    <col min="1541" max="1541" width="10.41796875" bestFit="1" customWidth="1"/>
    <col min="1542" max="1542" width="10.26171875" customWidth="1"/>
    <col min="1543" max="1543" width="18.26171875" customWidth="1"/>
    <col min="1793" max="1793" width="5.9453125" customWidth="1"/>
    <col min="1794" max="1794" width="28.26171875" customWidth="1"/>
    <col min="1795" max="1795" width="30.05078125" customWidth="1"/>
    <col min="1796" max="1796" width="6.89453125" customWidth="1"/>
    <col min="1797" max="1797" width="10.41796875" bestFit="1" customWidth="1"/>
    <col min="1798" max="1798" width="10.26171875" customWidth="1"/>
    <col min="1799" max="1799" width="18.26171875" customWidth="1"/>
    <col min="2049" max="2049" width="5.9453125" customWidth="1"/>
    <col min="2050" max="2050" width="28.26171875" customWidth="1"/>
    <col min="2051" max="2051" width="30.05078125" customWidth="1"/>
    <col min="2052" max="2052" width="6.89453125" customWidth="1"/>
    <col min="2053" max="2053" width="10.41796875" bestFit="1" customWidth="1"/>
    <col min="2054" max="2054" width="10.26171875" customWidth="1"/>
    <col min="2055" max="2055" width="18.26171875" customWidth="1"/>
    <col min="2305" max="2305" width="5.9453125" customWidth="1"/>
    <col min="2306" max="2306" width="28.26171875" customWidth="1"/>
    <col min="2307" max="2307" width="30.05078125" customWidth="1"/>
    <col min="2308" max="2308" width="6.89453125" customWidth="1"/>
    <col min="2309" max="2309" width="10.41796875" bestFit="1" customWidth="1"/>
    <col min="2310" max="2310" width="10.26171875" customWidth="1"/>
    <col min="2311" max="2311" width="18.26171875" customWidth="1"/>
    <col min="2561" max="2561" width="5.9453125" customWidth="1"/>
    <col min="2562" max="2562" width="28.26171875" customWidth="1"/>
    <col min="2563" max="2563" width="30.05078125" customWidth="1"/>
    <col min="2564" max="2564" width="6.89453125" customWidth="1"/>
    <col min="2565" max="2565" width="10.41796875" bestFit="1" customWidth="1"/>
    <col min="2566" max="2566" width="10.26171875" customWidth="1"/>
    <col min="2567" max="2567" width="18.26171875" customWidth="1"/>
    <col min="2817" max="2817" width="5.9453125" customWidth="1"/>
    <col min="2818" max="2818" width="28.26171875" customWidth="1"/>
    <col min="2819" max="2819" width="30.05078125" customWidth="1"/>
    <col min="2820" max="2820" width="6.89453125" customWidth="1"/>
    <col min="2821" max="2821" width="10.41796875" bestFit="1" customWidth="1"/>
    <col min="2822" max="2822" width="10.26171875" customWidth="1"/>
    <col min="2823" max="2823" width="18.26171875" customWidth="1"/>
    <col min="3073" max="3073" width="5.9453125" customWidth="1"/>
    <col min="3074" max="3074" width="28.26171875" customWidth="1"/>
    <col min="3075" max="3075" width="30.05078125" customWidth="1"/>
    <col min="3076" max="3076" width="6.89453125" customWidth="1"/>
    <col min="3077" max="3077" width="10.41796875" bestFit="1" customWidth="1"/>
    <col min="3078" max="3078" width="10.26171875" customWidth="1"/>
    <col min="3079" max="3079" width="18.26171875" customWidth="1"/>
    <col min="3329" max="3329" width="5.9453125" customWidth="1"/>
    <col min="3330" max="3330" width="28.26171875" customWidth="1"/>
    <col min="3331" max="3331" width="30.05078125" customWidth="1"/>
    <col min="3332" max="3332" width="6.89453125" customWidth="1"/>
    <col min="3333" max="3333" width="10.41796875" bestFit="1" customWidth="1"/>
    <col min="3334" max="3334" width="10.26171875" customWidth="1"/>
    <col min="3335" max="3335" width="18.26171875" customWidth="1"/>
    <col min="3585" max="3585" width="5.9453125" customWidth="1"/>
    <col min="3586" max="3586" width="28.26171875" customWidth="1"/>
    <col min="3587" max="3587" width="30.05078125" customWidth="1"/>
    <col min="3588" max="3588" width="6.89453125" customWidth="1"/>
    <col min="3589" max="3589" width="10.41796875" bestFit="1" customWidth="1"/>
    <col min="3590" max="3590" width="10.26171875" customWidth="1"/>
    <col min="3591" max="3591" width="18.26171875" customWidth="1"/>
    <col min="3841" max="3841" width="5.9453125" customWidth="1"/>
    <col min="3842" max="3842" width="28.26171875" customWidth="1"/>
    <col min="3843" max="3843" width="30.05078125" customWidth="1"/>
    <col min="3844" max="3844" width="6.89453125" customWidth="1"/>
    <col min="3845" max="3845" width="10.41796875" bestFit="1" customWidth="1"/>
    <col min="3846" max="3846" width="10.26171875" customWidth="1"/>
    <col min="3847" max="3847" width="18.26171875" customWidth="1"/>
    <col min="4097" max="4097" width="5.9453125" customWidth="1"/>
    <col min="4098" max="4098" width="28.26171875" customWidth="1"/>
    <col min="4099" max="4099" width="30.05078125" customWidth="1"/>
    <col min="4100" max="4100" width="6.89453125" customWidth="1"/>
    <col min="4101" max="4101" width="10.41796875" bestFit="1" customWidth="1"/>
    <col min="4102" max="4102" width="10.26171875" customWidth="1"/>
    <col min="4103" max="4103" width="18.26171875" customWidth="1"/>
    <col min="4353" max="4353" width="5.9453125" customWidth="1"/>
    <col min="4354" max="4354" width="28.26171875" customWidth="1"/>
    <col min="4355" max="4355" width="30.05078125" customWidth="1"/>
    <col min="4356" max="4356" width="6.89453125" customWidth="1"/>
    <col min="4357" max="4357" width="10.41796875" bestFit="1" customWidth="1"/>
    <col min="4358" max="4358" width="10.26171875" customWidth="1"/>
    <col min="4359" max="4359" width="18.26171875" customWidth="1"/>
    <col min="4609" max="4609" width="5.9453125" customWidth="1"/>
    <col min="4610" max="4610" width="28.26171875" customWidth="1"/>
    <col min="4611" max="4611" width="30.05078125" customWidth="1"/>
    <col min="4612" max="4612" width="6.89453125" customWidth="1"/>
    <col min="4613" max="4613" width="10.41796875" bestFit="1" customWidth="1"/>
    <col min="4614" max="4614" width="10.26171875" customWidth="1"/>
    <col min="4615" max="4615" width="18.26171875" customWidth="1"/>
    <col min="4865" max="4865" width="5.9453125" customWidth="1"/>
    <col min="4866" max="4866" width="28.26171875" customWidth="1"/>
    <col min="4867" max="4867" width="30.05078125" customWidth="1"/>
    <col min="4868" max="4868" width="6.89453125" customWidth="1"/>
    <col min="4869" max="4869" width="10.41796875" bestFit="1" customWidth="1"/>
    <col min="4870" max="4870" width="10.26171875" customWidth="1"/>
    <col min="4871" max="4871" width="18.26171875" customWidth="1"/>
    <col min="5121" max="5121" width="5.9453125" customWidth="1"/>
    <col min="5122" max="5122" width="28.26171875" customWidth="1"/>
    <col min="5123" max="5123" width="30.05078125" customWidth="1"/>
    <col min="5124" max="5124" width="6.89453125" customWidth="1"/>
    <col min="5125" max="5125" width="10.41796875" bestFit="1" customWidth="1"/>
    <col min="5126" max="5126" width="10.26171875" customWidth="1"/>
    <col min="5127" max="5127" width="18.26171875" customWidth="1"/>
    <col min="5377" max="5377" width="5.9453125" customWidth="1"/>
    <col min="5378" max="5378" width="28.26171875" customWidth="1"/>
    <col min="5379" max="5379" width="30.05078125" customWidth="1"/>
    <col min="5380" max="5380" width="6.89453125" customWidth="1"/>
    <col min="5381" max="5381" width="10.41796875" bestFit="1" customWidth="1"/>
    <col min="5382" max="5382" width="10.26171875" customWidth="1"/>
    <col min="5383" max="5383" width="18.26171875" customWidth="1"/>
    <col min="5633" max="5633" width="5.9453125" customWidth="1"/>
    <col min="5634" max="5634" width="28.26171875" customWidth="1"/>
    <col min="5635" max="5635" width="30.05078125" customWidth="1"/>
    <col min="5636" max="5636" width="6.89453125" customWidth="1"/>
    <col min="5637" max="5637" width="10.41796875" bestFit="1" customWidth="1"/>
    <col min="5638" max="5638" width="10.26171875" customWidth="1"/>
    <col min="5639" max="5639" width="18.26171875" customWidth="1"/>
    <col min="5889" max="5889" width="5.9453125" customWidth="1"/>
    <col min="5890" max="5890" width="28.26171875" customWidth="1"/>
    <col min="5891" max="5891" width="30.05078125" customWidth="1"/>
    <col min="5892" max="5892" width="6.89453125" customWidth="1"/>
    <col min="5893" max="5893" width="10.41796875" bestFit="1" customWidth="1"/>
    <col min="5894" max="5894" width="10.26171875" customWidth="1"/>
    <col min="5895" max="5895" width="18.26171875" customWidth="1"/>
    <col min="6145" max="6145" width="5.9453125" customWidth="1"/>
    <col min="6146" max="6146" width="28.26171875" customWidth="1"/>
    <col min="6147" max="6147" width="30.05078125" customWidth="1"/>
    <col min="6148" max="6148" width="6.89453125" customWidth="1"/>
    <col min="6149" max="6149" width="10.41796875" bestFit="1" customWidth="1"/>
    <col min="6150" max="6150" width="10.26171875" customWidth="1"/>
    <col min="6151" max="6151" width="18.26171875" customWidth="1"/>
    <col min="6401" max="6401" width="5.9453125" customWidth="1"/>
    <col min="6402" max="6402" width="28.26171875" customWidth="1"/>
    <col min="6403" max="6403" width="30.05078125" customWidth="1"/>
    <col min="6404" max="6404" width="6.89453125" customWidth="1"/>
    <col min="6405" max="6405" width="10.41796875" bestFit="1" customWidth="1"/>
    <col min="6406" max="6406" width="10.26171875" customWidth="1"/>
    <col min="6407" max="6407" width="18.26171875" customWidth="1"/>
    <col min="6657" max="6657" width="5.9453125" customWidth="1"/>
    <col min="6658" max="6658" width="28.26171875" customWidth="1"/>
    <col min="6659" max="6659" width="30.05078125" customWidth="1"/>
    <col min="6660" max="6660" width="6.89453125" customWidth="1"/>
    <col min="6661" max="6661" width="10.41796875" bestFit="1" customWidth="1"/>
    <col min="6662" max="6662" width="10.26171875" customWidth="1"/>
    <col min="6663" max="6663" width="18.26171875" customWidth="1"/>
    <col min="6913" max="6913" width="5.9453125" customWidth="1"/>
    <col min="6914" max="6914" width="28.26171875" customWidth="1"/>
    <col min="6915" max="6915" width="30.05078125" customWidth="1"/>
    <col min="6916" max="6916" width="6.89453125" customWidth="1"/>
    <col min="6917" max="6917" width="10.41796875" bestFit="1" customWidth="1"/>
    <col min="6918" max="6918" width="10.26171875" customWidth="1"/>
    <col min="6919" max="6919" width="18.26171875" customWidth="1"/>
    <col min="7169" max="7169" width="5.9453125" customWidth="1"/>
    <col min="7170" max="7170" width="28.26171875" customWidth="1"/>
    <col min="7171" max="7171" width="30.05078125" customWidth="1"/>
    <col min="7172" max="7172" width="6.89453125" customWidth="1"/>
    <col min="7173" max="7173" width="10.41796875" bestFit="1" customWidth="1"/>
    <col min="7174" max="7174" width="10.26171875" customWidth="1"/>
    <col min="7175" max="7175" width="18.26171875" customWidth="1"/>
    <col min="7425" max="7425" width="5.9453125" customWidth="1"/>
    <col min="7426" max="7426" width="28.26171875" customWidth="1"/>
    <col min="7427" max="7427" width="30.05078125" customWidth="1"/>
    <col min="7428" max="7428" width="6.89453125" customWidth="1"/>
    <col min="7429" max="7429" width="10.41796875" bestFit="1" customWidth="1"/>
    <col min="7430" max="7430" width="10.26171875" customWidth="1"/>
    <col min="7431" max="7431" width="18.26171875" customWidth="1"/>
    <col min="7681" max="7681" width="5.9453125" customWidth="1"/>
    <col min="7682" max="7682" width="28.26171875" customWidth="1"/>
    <col min="7683" max="7683" width="30.05078125" customWidth="1"/>
    <col min="7684" max="7684" width="6.89453125" customWidth="1"/>
    <col min="7685" max="7685" width="10.41796875" bestFit="1" customWidth="1"/>
    <col min="7686" max="7686" width="10.26171875" customWidth="1"/>
    <col min="7687" max="7687" width="18.26171875" customWidth="1"/>
    <col min="7937" max="7937" width="5.9453125" customWidth="1"/>
    <col min="7938" max="7938" width="28.26171875" customWidth="1"/>
    <col min="7939" max="7939" width="30.05078125" customWidth="1"/>
    <col min="7940" max="7940" width="6.89453125" customWidth="1"/>
    <col min="7941" max="7941" width="10.41796875" bestFit="1" customWidth="1"/>
    <col min="7942" max="7942" width="10.26171875" customWidth="1"/>
    <col min="7943" max="7943" width="18.26171875" customWidth="1"/>
    <col min="8193" max="8193" width="5.9453125" customWidth="1"/>
    <col min="8194" max="8194" width="28.26171875" customWidth="1"/>
    <col min="8195" max="8195" width="30.05078125" customWidth="1"/>
    <col min="8196" max="8196" width="6.89453125" customWidth="1"/>
    <col min="8197" max="8197" width="10.41796875" bestFit="1" customWidth="1"/>
    <col min="8198" max="8198" width="10.26171875" customWidth="1"/>
    <col min="8199" max="8199" width="18.26171875" customWidth="1"/>
    <col min="8449" max="8449" width="5.9453125" customWidth="1"/>
    <col min="8450" max="8450" width="28.26171875" customWidth="1"/>
    <col min="8451" max="8451" width="30.05078125" customWidth="1"/>
    <col min="8452" max="8452" width="6.89453125" customWidth="1"/>
    <col min="8453" max="8453" width="10.41796875" bestFit="1" customWidth="1"/>
    <col min="8454" max="8454" width="10.26171875" customWidth="1"/>
    <col min="8455" max="8455" width="18.26171875" customWidth="1"/>
    <col min="8705" max="8705" width="5.9453125" customWidth="1"/>
    <col min="8706" max="8706" width="28.26171875" customWidth="1"/>
    <col min="8707" max="8707" width="30.05078125" customWidth="1"/>
    <col min="8708" max="8708" width="6.89453125" customWidth="1"/>
    <col min="8709" max="8709" width="10.41796875" bestFit="1" customWidth="1"/>
    <col min="8710" max="8710" width="10.26171875" customWidth="1"/>
    <col min="8711" max="8711" width="18.26171875" customWidth="1"/>
    <col min="8961" max="8961" width="5.9453125" customWidth="1"/>
    <col min="8962" max="8962" width="28.26171875" customWidth="1"/>
    <col min="8963" max="8963" width="30.05078125" customWidth="1"/>
    <col min="8964" max="8964" width="6.89453125" customWidth="1"/>
    <col min="8965" max="8965" width="10.41796875" bestFit="1" customWidth="1"/>
    <col min="8966" max="8966" width="10.26171875" customWidth="1"/>
    <col min="8967" max="8967" width="18.26171875" customWidth="1"/>
    <col min="9217" max="9217" width="5.9453125" customWidth="1"/>
    <col min="9218" max="9218" width="28.26171875" customWidth="1"/>
    <col min="9219" max="9219" width="30.05078125" customWidth="1"/>
    <col min="9220" max="9220" width="6.89453125" customWidth="1"/>
    <col min="9221" max="9221" width="10.41796875" bestFit="1" customWidth="1"/>
    <col min="9222" max="9222" width="10.26171875" customWidth="1"/>
    <col min="9223" max="9223" width="18.26171875" customWidth="1"/>
    <col min="9473" max="9473" width="5.9453125" customWidth="1"/>
    <col min="9474" max="9474" width="28.26171875" customWidth="1"/>
    <col min="9475" max="9475" width="30.05078125" customWidth="1"/>
    <col min="9476" max="9476" width="6.89453125" customWidth="1"/>
    <col min="9477" max="9477" width="10.41796875" bestFit="1" customWidth="1"/>
    <col min="9478" max="9478" width="10.26171875" customWidth="1"/>
    <col min="9479" max="9479" width="18.26171875" customWidth="1"/>
    <col min="9729" max="9729" width="5.9453125" customWidth="1"/>
    <col min="9730" max="9730" width="28.26171875" customWidth="1"/>
    <col min="9731" max="9731" width="30.05078125" customWidth="1"/>
    <col min="9732" max="9732" width="6.89453125" customWidth="1"/>
    <col min="9733" max="9733" width="10.41796875" bestFit="1" customWidth="1"/>
    <col min="9734" max="9734" width="10.26171875" customWidth="1"/>
    <col min="9735" max="9735" width="18.26171875" customWidth="1"/>
    <col min="9985" max="9985" width="5.9453125" customWidth="1"/>
    <col min="9986" max="9986" width="28.26171875" customWidth="1"/>
    <col min="9987" max="9987" width="30.05078125" customWidth="1"/>
    <col min="9988" max="9988" width="6.89453125" customWidth="1"/>
    <col min="9989" max="9989" width="10.41796875" bestFit="1" customWidth="1"/>
    <col min="9990" max="9990" width="10.26171875" customWidth="1"/>
    <col min="9991" max="9991" width="18.26171875" customWidth="1"/>
    <col min="10241" max="10241" width="5.9453125" customWidth="1"/>
    <col min="10242" max="10242" width="28.26171875" customWidth="1"/>
    <col min="10243" max="10243" width="30.05078125" customWidth="1"/>
    <col min="10244" max="10244" width="6.89453125" customWidth="1"/>
    <col min="10245" max="10245" width="10.41796875" bestFit="1" customWidth="1"/>
    <col min="10246" max="10246" width="10.26171875" customWidth="1"/>
    <col min="10247" max="10247" width="18.26171875" customWidth="1"/>
    <col min="10497" max="10497" width="5.9453125" customWidth="1"/>
    <col min="10498" max="10498" width="28.26171875" customWidth="1"/>
    <col min="10499" max="10499" width="30.05078125" customWidth="1"/>
    <col min="10500" max="10500" width="6.89453125" customWidth="1"/>
    <col min="10501" max="10501" width="10.41796875" bestFit="1" customWidth="1"/>
    <col min="10502" max="10502" width="10.26171875" customWidth="1"/>
    <col min="10503" max="10503" width="18.26171875" customWidth="1"/>
    <col min="10753" max="10753" width="5.9453125" customWidth="1"/>
    <col min="10754" max="10754" width="28.26171875" customWidth="1"/>
    <col min="10755" max="10755" width="30.05078125" customWidth="1"/>
    <col min="10756" max="10756" width="6.89453125" customWidth="1"/>
    <col min="10757" max="10757" width="10.41796875" bestFit="1" customWidth="1"/>
    <col min="10758" max="10758" width="10.26171875" customWidth="1"/>
    <col min="10759" max="10759" width="18.26171875" customWidth="1"/>
    <col min="11009" max="11009" width="5.9453125" customWidth="1"/>
    <col min="11010" max="11010" width="28.26171875" customWidth="1"/>
    <col min="11011" max="11011" width="30.05078125" customWidth="1"/>
    <col min="11012" max="11012" width="6.89453125" customWidth="1"/>
    <col min="11013" max="11013" width="10.41796875" bestFit="1" customWidth="1"/>
    <col min="11014" max="11014" width="10.26171875" customWidth="1"/>
    <col min="11015" max="11015" width="18.26171875" customWidth="1"/>
    <col min="11265" max="11265" width="5.9453125" customWidth="1"/>
    <col min="11266" max="11266" width="28.26171875" customWidth="1"/>
    <col min="11267" max="11267" width="30.05078125" customWidth="1"/>
    <col min="11268" max="11268" width="6.89453125" customWidth="1"/>
    <col min="11269" max="11269" width="10.41796875" bestFit="1" customWidth="1"/>
    <col min="11270" max="11270" width="10.26171875" customWidth="1"/>
    <col min="11271" max="11271" width="18.26171875" customWidth="1"/>
    <col min="11521" max="11521" width="5.9453125" customWidth="1"/>
    <col min="11522" max="11522" width="28.26171875" customWidth="1"/>
    <col min="11523" max="11523" width="30.05078125" customWidth="1"/>
    <col min="11524" max="11524" width="6.89453125" customWidth="1"/>
    <col min="11525" max="11525" width="10.41796875" bestFit="1" customWidth="1"/>
    <col min="11526" max="11526" width="10.26171875" customWidth="1"/>
    <col min="11527" max="11527" width="18.26171875" customWidth="1"/>
    <col min="11777" max="11777" width="5.9453125" customWidth="1"/>
    <col min="11778" max="11778" width="28.26171875" customWidth="1"/>
    <col min="11779" max="11779" width="30.05078125" customWidth="1"/>
    <col min="11780" max="11780" width="6.89453125" customWidth="1"/>
    <col min="11781" max="11781" width="10.41796875" bestFit="1" customWidth="1"/>
    <col min="11782" max="11782" width="10.26171875" customWidth="1"/>
    <col min="11783" max="11783" width="18.26171875" customWidth="1"/>
    <col min="12033" max="12033" width="5.9453125" customWidth="1"/>
    <col min="12034" max="12034" width="28.26171875" customWidth="1"/>
    <col min="12035" max="12035" width="30.05078125" customWidth="1"/>
    <col min="12036" max="12036" width="6.89453125" customWidth="1"/>
    <col min="12037" max="12037" width="10.41796875" bestFit="1" customWidth="1"/>
    <col min="12038" max="12038" width="10.26171875" customWidth="1"/>
    <col min="12039" max="12039" width="18.26171875" customWidth="1"/>
    <col min="12289" max="12289" width="5.9453125" customWidth="1"/>
    <col min="12290" max="12290" width="28.26171875" customWidth="1"/>
    <col min="12291" max="12291" width="30.05078125" customWidth="1"/>
    <col min="12292" max="12292" width="6.89453125" customWidth="1"/>
    <col min="12293" max="12293" width="10.41796875" bestFit="1" customWidth="1"/>
    <col min="12294" max="12294" width="10.26171875" customWidth="1"/>
    <col min="12295" max="12295" width="18.26171875" customWidth="1"/>
    <col min="12545" max="12545" width="5.9453125" customWidth="1"/>
    <col min="12546" max="12546" width="28.26171875" customWidth="1"/>
    <col min="12547" max="12547" width="30.05078125" customWidth="1"/>
    <col min="12548" max="12548" width="6.89453125" customWidth="1"/>
    <col min="12549" max="12549" width="10.41796875" bestFit="1" customWidth="1"/>
    <col min="12550" max="12550" width="10.26171875" customWidth="1"/>
    <col min="12551" max="12551" width="18.26171875" customWidth="1"/>
    <col min="12801" max="12801" width="5.9453125" customWidth="1"/>
    <col min="12802" max="12802" width="28.26171875" customWidth="1"/>
    <col min="12803" max="12803" width="30.05078125" customWidth="1"/>
    <col min="12804" max="12804" width="6.89453125" customWidth="1"/>
    <col min="12805" max="12805" width="10.41796875" bestFit="1" customWidth="1"/>
    <col min="12806" max="12806" width="10.26171875" customWidth="1"/>
    <col min="12807" max="12807" width="18.26171875" customWidth="1"/>
    <col min="13057" max="13057" width="5.9453125" customWidth="1"/>
    <col min="13058" max="13058" width="28.26171875" customWidth="1"/>
    <col min="13059" max="13059" width="30.05078125" customWidth="1"/>
    <col min="13060" max="13060" width="6.89453125" customWidth="1"/>
    <col min="13061" max="13061" width="10.41796875" bestFit="1" customWidth="1"/>
    <col min="13062" max="13062" width="10.26171875" customWidth="1"/>
    <col min="13063" max="13063" width="18.26171875" customWidth="1"/>
    <col min="13313" max="13313" width="5.9453125" customWidth="1"/>
    <col min="13314" max="13314" width="28.26171875" customWidth="1"/>
    <col min="13315" max="13315" width="30.05078125" customWidth="1"/>
    <col min="13316" max="13316" width="6.89453125" customWidth="1"/>
    <col min="13317" max="13317" width="10.41796875" bestFit="1" customWidth="1"/>
    <col min="13318" max="13318" width="10.26171875" customWidth="1"/>
    <col min="13319" max="13319" width="18.26171875" customWidth="1"/>
    <col min="13569" max="13569" width="5.9453125" customWidth="1"/>
    <col min="13570" max="13570" width="28.26171875" customWidth="1"/>
    <col min="13571" max="13571" width="30.05078125" customWidth="1"/>
    <col min="13572" max="13572" width="6.89453125" customWidth="1"/>
    <col min="13573" max="13573" width="10.41796875" bestFit="1" customWidth="1"/>
    <col min="13574" max="13574" width="10.26171875" customWidth="1"/>
    <col min="13575" max="13575" width="18.26171875" customWidth="1"/>
    <col min="13825" max="13825" width="5.9453125" customWidth="1"/>
    <col min="13826" max="13826" width="28.26171875" customWidth="1"/>
    <col min="13827" max="13827" width="30.05078125" customWidth="1"/>
    <col min="13828" max="13828" width="6.89453125" customWidth="1"/>
    <col min="13829" max="13829" width="10.41796875" bestFit="1" customWidth="1"/>
    <col min="13830" max="13830" width="10.26171875" customWidth="1"/>
    <col min="13831" max="13831" width="18.26171875" customWidth="1"/>
    <col min="14081" max="14081" width="5.9453125" customWidth="1"/>
    <col min="14082" max="14082" width="28.26171875" customWidth="1"/>
    <col min="14083" max="14083" width="30.05078125" customWidth="1"/>
    <col min="14084" max="14084" width="6.89453125" customWidth="1"/>
    <col min="14085" max="14085" width="10.41796875" bestFit="1" customWidth="1"/>
    <col min="14086" max="14086" width="10.26171875" customWidth="1"/>
    <col min="14087" max="14087" width="18.26171875" customWidth="1"/>
    <col min="14337" max="14337" width="5.9453125" customWidth="1"/>
    <col min="14338" max="14338" width="28.26171875" customWidth="1"/>
    <col min="14339" max="14339" width="30.05078125" customWidth="1"/>
    <col min="14340" max="14340" width="6.89453125" customWidth="1"/>
    <col min="14341" max="14341" width="10.41796875" bestFit="1" customWidth="1"/>
    <col min="14342" max="14342" width="10.26171875" customWidth="1"/>
    <col min="14343" max="14343" width="18.26171875" customWidth="1"/>
    <col min="14593" max="14593" width="5.9453125" customWidth="1"/>
    <col min="14594" max="14594" width="28.26171875" customWidth="1"/>
    <col min="14595" max="14595" width="30.05078125" customWidth="1"/>
    <col min="14596" max="14596" width="6.89453125" customWidth="1"/>
    <col min="14597" max="14597" width="10.41796875" bestFit="1" customWidth="1"/>
    <col min="14598" max="14598" width="10.26171875" customWidth="1"/>
    <col min="14599" max="14599" width="18.26171875" customWidth="1"/>
    <col min="14849" max="14849" width="5.9453125" customWidth="1"/>
    <col min="14850" max="14850" width="28.26171875" customWidth="1"/>
    <col min="14851" max="14851" width="30.05078125" customWidth="1"/>
    <col min="14852" max="14852" width="6.89453125" customWidth="1"/>
    <col min="14853" max="14853" width="10.41796875" bestFit="1" customWidth="1"/>
    <col min="14854" max="14854" width="10.26171875" customWidth="1"/>
    <col min="14855" max="14855" width="18.26171875" customWidth="1"/>
    <col min="15105" max="15105" width="5.9453125" customWidth="1"/>
    <col min="15106" max="15106" width="28.26171875" customWidth="1"/>
    <col min="15107" max="15107" width="30.05078125" customWidth="1"/>
    <col min="15108" max="15108" width="6.89453125" customWidth="1"/>
    <col min="15109" max="15109" width="10.41796875" bestFit="1" customWidth="1"/>
    <col min="15110" max="15110" width="10.26171875" customWidth="1"/>
    <col min="15111" max="15111" width="18.26171875" customWidth="1"/>
    <col min="15361" max="15361" width="5.9453125" customWidth="1"/>
    <col min="15362" max="15362" width="28.26171875" customWidth="1"/>
    <col min="15363" max="15363" width="30.05078125" customWidth="1"/>
    <col min="15364" max="15364" width="6.89453125" customWidth="1"/>
    <col min="15365" max="15365" width="10.41796875" bestFit="1" customWidth="1"/>
    <col min="15366" max="15366" width="10.26171875" customWidth="1"/>
    <col min="15367" max="15367" width="18.26171875" customWidth="1"/>
    <col min="15617" max="15617" width="5.9453125" customWidth="1"/>
    <col min="15618" max="15618" width="28.26171875" customWidth="1"/>
    <col min="15619" max="15619" width="30.05078125" customWidth="1"/>
    <col min="15620" max="15620" width="6.89453125" customWidth="1"/>
    <col min="15621" max="15621" width="10.41796875" bestFit="1" customWidth="1"/>
    <col min="15622" max="15622" width="10.26171875" customWidth="1"/>
    <col min="15623" max="15623" width="18.26171875" customWidth="1"/>
    <col min="15873" max="15873" width="5.9453125" customWidth="1"/>
    <col min="15874" max="15874" width="28.26171875" customWidth="1"/>
    <col min="15875" max="15875" width="30.05078125" customWidth="1"/>
    <col min="15876" max="15876" width="6.89453125" customWidth="1"/>
    <col min="15877" max="15877" width="10.41796875" bestFit="1" customWidth="1"/>
    <col min="15878" max="15878" width="10.26171875" customWidth="1"/>
    <col min="15879" max="15879" width="18.26171875" customWidth="1"/>
    <col min="16129" max="16129" width="5.9453125" customWidth="1"/>
    <col min="16130" max="16130" width="28.26171875" customWidth="1"/>
    <col min="16131" max="16131" width="30.05078125" customWidth="1"/>
    <col min="16132" max="16132" width="6.89453125" customWidth="1"/>
    <col min="16133" max="16133" width="10.41796875" bestFit="1" customWidth="1"/>
    <col min="16134" max="16134" width="10.26171875" customWidth="1"/>
    <col min="16135" max="16135" width="18.26171875" customWidth="1"/>
  </cols>
  <sheetData>
    <row r="1" spans="1:15" ht="27" customHeight="1">
      <c r="B1" s="4" t="s">
        <v>0</v>
      </c>
    </row>
    <row r="2" spans="1:15">
      <c r="B2" s="5" t="s">
        <v>1</v>
      </c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6"/>
      <c r="N2" s="7"/>
      <c r="O2" s="8"/>
    </row>
    <row r="3" spans="1:15">
      <c r="B3" s="5" t="s">
        <v>3</v>
      </c>
      <c r="C3" s="5"/>
      <c r="D3" s="5"/>
      <c r="E3" s="5" t="s">
        <v>4</v>
      </c>
      <c r="F3" s="5"/>
      <c r="G3" s="5"/>
      <c r="H3" s="5"/>
      <c r="I3" s="5"/>
      <c r="J3" s="5"/>
      <c r="K3" s="5"/>
      <c r="L3" s="5"/>
      <c r="M3" s="9"/>
      <c r="N3" s="7"/>
      <c r="O3" s="8"/>
    </row>
    <row r="4" spans="1:15">
      <c r="B4" s="5" t="s">
        <v>5</v>
      </c>
      <c r="C4" s="5"/>
      <c r="D4" s="5"/>
      <c r="E4" s="5" t="s">
        <v>273</v>
      </c>
      <c r="F4" s="5"/>
      <c r="G4" s="5"/>
      <c r="H4" s="5"/>
      <c r="I4" s="5"/>
      <c r="J4" s="5"/>
      <c r="K4" s="5"/>
      <c r="L4" s="5"/>
      <c r="M4" s="6"/>
      <c r="N4" s="7"/>
      <c r="O4" s="8"/>
    </row>
    <row r="5" spans="1:15">
      <c r="B5" s="5" t="s">
        <v>7</v>
      </c>
      <c r="C5" s="5"/>
      <c r="D5" s="5"/>
      <c r="E5" s="10">
        <v>2024</v>
      </c>
      <c r="F5" s="5"/>
      <c r="G5" s="5"/>
      <c r="H5" s="5"/>
      <c r="I5" s="5"/>
      <c r="J5" s="5"/>
      <c r="K5" s="5"/>
      <c r="L5" s="5"/>
      <c r="M5" s="6"/>
      <c r="N5" s="7"/>
      <c r="O5" s="8"/>
    </row>
    <row r="6" spans="1:15" ht="15.3" thickBot="1">
      <c r="A6" s="11"/>
      <c r="B6" s="12"/>
    </row>
    <row r="7" spans="1:15" ht="18.3" thickTop="1" thickBot="1">
      <c r="A7" s="13"/>
      <c r="B7" s="11"/>
      <c r="C7" s="11"/>
      <c r="D7" s="14"/>
      <c r="E7" s="15" t="s">
        <v>8</v>
      </c>
      <c r="F7" s="54" t="s">
        <v>9</v>
      </c>
      <c r="G7" s="54" t="s">
        <v>10</v>
      </c>
    </row>
    <row r="8" spans="1:15" ht="14.7" thickTop="1">
      <c r="A8" s="158" t="s">
        <v>11</v>
      </c>
      <c r="B8" s="160" t="s">
        <v>12</v>
      </c>
      <c r="C8" s="16" t="s">
        <v>13</v>
      </c>
      <c r="D8" s="162" t="s">
        <v>14</v>
      </c>
      <c r="E8" s="158"/>
      <c r="F8" s="156"/>
      <c r="G8" s="156"/>
    </row>
    <row r="9" spans="1:15" ht="14.7" thickBot="1">
      <c r="A9" s="159"/>
      <c r="B9" s="161"/>
      <c r="C9" s="17" t="s">
        <v>15</v>
      </c>
      <c r="D9" s="163"/>
      <c r="E9" s="159"/>
      <c r="F9" s="157"/>
      <c r="G9" s="157"/>
    </row>
    <row r="10" spans="1:15">
      <c r="A10" s="18"/>
      <c r="B10" s="19"/>
      <c r="C10" s="20"/>
      <c r="D10" s="19"/>
      <c r="E10" s="19"/>
      <c r="F10" s="55"/>
      <c r="G10" s="73"/>
    </row>
    <row r="11" spans="1:15">
      <c r="A11" s="21" t="s">
        <v>16</v>
      </c>
      <c r="B11" s="22" t="s">
        <v>274</v>
      </c>
      <c r="C11" s="2"/>
      <c r="D11" s="3"/>
      <c r="E11" s="3"/>
      <c r="F11" s="56"/>
      <c r="G11" s="74"/>
    </row>
    <row r="12" spans="1:15">
      <c r="A12" s="1">
        <v>1</v>
      </c>
      <c r="B12" s="2" t="s">
        <v>339</v>
      </c>
      <c r="C12" s="2" t="s">
        <v>275</v>
      </c>
      <c r="D12" s="3" t="s">
        <v>201</v>
      </c>
      <c r="E12" s="23">
        <v>4</v>
      </c>
      <c r="F12" s="75"/>
      <c r="G12" s="76">
        <f>E12*F12</f>
        <v>0</v>
      </c>
    </row>
    <row r="13" spans="1:15">
      <c r="A13" s="1"/>
      <c r="B13" s="24" t="s">
        <v>340</v>
      </c>
      <c r="C13" s="2" t="s">
        <v>275</v>
      </c>
      <c r="D13" s="3" t="s">
        <v>201</v>
      </c>
      <c r="E13" s="23">
        <v>2</v>
      </c>
      <c r="F13" s="75"/>
      <c r="G13" s="76">
        <f>E13*F13</f>
        <v>0</v>
      </c>
    </row>
    <row r="14" spans="1:15">
      <c r="A14" s="1">
        <v>2</v>
      </c>
      <c r="B14" s="24" t="s">
        <v>276</v>
      </c>
      <c r="C14" s="2" t="s">
        <v>277</v>
      </c>
      <c r="D14" s="3" t="s">
        <v>25</v>
      </c>
      <c r="E14" s="23">
        <v>6</v>
      </c>
      <c r="F14" s="75"/>
      <c r="G14" s="76">
        <f>E14*F14</f>
        <v>0</v>
      </c>
    </row>
    <row r="15" spans="1:15">
      <c r="A15" s="1"/>
      <c r="B15" s="2"/>
      <c r="C15" s="25" t="s">
        <v>32</v>
      </c>
      <c r="D15" s="3"/>
      <c r="E15" s="23"/>
      <c r="F15" s="56"/>
      <c r="G15" s="77">
        <f>SUM(G12:G14)</f>
        <v>0</v>
      </c>
    </row>
    <row r="16" spans="1:15">
      <c r="A16" s="21" t="s">
        <v>33</v>
      </c>
      <c r="B16" s="22" t="s">
        <v>278</v>
      </c>
      <c r="C16" s="2"/>
      <c r="D16" s="3"/>
      <c r="E16" s="23"/>
      <c r="F16" s="56"/>
      <c r="G16" s="76"/>
    </row>
    <row r="17" spans="1:7">
      <c r="A17" s="1">
        <v>1</v>
      </c>
      <c r="B17" s="2" t="s">
        <v>279</v>
      </c>
      <c r="C17" s="2" t="s">
        <v>275</v>
      </c>
      <c r="D17" s="3" t="s">
        <v>201</v>
      </c>
      <c r="E17" s="23">
        <v>1</v>
      </c>
      <c r="F17" s="75"/>
      <c r="G17" s="76">
        <f>E17*F17</f>
        <v>0</v>
      </c>
    </row>
    <row r="18" spans="1:7">
      <c r="A18" s="1">
        <v>2</v>
      </c>
      <c r="B18" s="2" t="s">
        <v>280</v>
      </c>
      <c r="C18" s="2" t="s">
        <v>275</v>
      </c>
      <c r="D18" s="3" t="s">
        <v>201</v>
      </c>
      <c r="E18" s="23">
        <v>1</v>
      </c>
      <c r="F18" s="75"/>
      <c r="G18" s="76">
        <f>E18*F18</f>
        <v>0</v>
      </c>
    </row>
    <row r="19" spans="1:7">
      <c r="A19" s="1">
        <v>3</v>
      </c>
      <c r="B19" s="2" t="s">
        <v>281</v>
      </c>
      <c r="C19" s="2" t="s">
        <v>282</v>
      </c>
      <c r="D19" s="3" t="s">
        <v>25</v>
      </c>
      <c r="E19" s="23">
        <v>18</v>
      </c>
      <c r="F19" s="75"/>
      <c r="G19" s="76">
        <f>E19*F19</f>
        <v>0</v>
      </c>
    </row>
    <row r="20" spans="1:7">
      <c r="A20" s="1">
        <v>4</v>
      </c>
      <c r="B20" s="2" t="s">
        <v>283</v>
      </c>
      <c r="C20" s="2" t="s">
        <v>282</v>
      </c>
      <c r="D20" s="3" t="s">
        <v>25</v>
      </c>
      <c r="E20" s="23">
        <f>3*1.2+7</f>
        <v>10.6</v>
      </c>
      <c r="F20" s="75"/>
      <c r="G20" s="76">
        <f>E20*F20</f>
        <v>0</v>
      </c>
    </row>
    <row r="21" spans="1:7">
      <c r="A21" s="1">
        <v>5</v>
      </c>
      <c r="B21" s="2" t="s">
        <v>284</v>
      </c>
      <c r="C21" s="2" t="s">
        <v>282</v>
      </c>
      <c r="D21" s="3" t="s">
        <v>25</v>
      </c>
      <c r="E21" s="23">
        <f>3*1.75</f>
        <v>5.25</v>
      </c>
      <c r="F21" s="75"/>
      <c r="G21" s="76">
        <f>E21*F21</f>
        <v>0</v>
      </c>
    </row>
    <row r="22" spans="1:7">
      <c r="A22" s="1"/>
      <c r="B22" s="2"/>
      <c r="C22" s="25" t="s">
        <v>44</v>
      </c>
      <c r="D22" s="3"/>
      <c r="E22" s="23"/>
      <c r="F22" s="78"/>
      <c r="G22" s="77">
        <f>SUM(G17:G21)</f>
        <v>0</v>
      </c>
    </row>
    <row r="23" spans="1:7">
      <c r="A23" s="21" t="s">
        <v>45</v>
      </c>
      <c r="B23" s="22" t="s">
        <v>285</v>
      </c>
      <c r="C23" s="2"/>
      <c r="D23" s="3"/>
      <c r="E23" s="26"/>
      <c r="F23" s="56"/>
      <c r="G23" s="76"/>
    </row>
    <row r="24" spans="1:7">
      <c r="A24" s="1">
        <v>1</v>
      </c>
      <c r="B24" s="2" t="s">
        <v>286</v>
      </c>
      <c r="C24" s="2" t="s">
        <v>275</v>
      </c>
      <c r="D24" s="3" t="s">
        <v>201</v>
      </c>
      <c r="E24" s="23">
        <v>24</v>
      </c>
      <c r="F24" s="75"/>
      <c r="G24" s="76">
        <f>E24*F24</f>
        <v>0</v>
      </c>
    </row>
    <row r="25" spans="1:7">
      <c r="A25" s="1">
        <v>2</v>
      </c>
      <c r="B25" s="2" t="s">
        <v>287</v>
      </c>
      <c r="C25" s="2" t="s">
        <v>275</v>
      </c>
      <c r="D25" s="3" t="s">
        <v>201</v>
      </c>
      <c r="E25" s="23">
        <v>1</v>
      </c>
      <c r="F25" s="75"/>
      <c r="G25" s="76">
        <f>E25*F25</f>
        <v>0</v>
      </c>
    </row>
    <row r="26" spans="1:7">
      <c r="A26" s="1">
        <v>3</v>
      </c>
      <c r="B26" s="2" t="s">
        <v>288</v>
      </c>
      <c r="C26" s="2" t="s">
        <v>275</v>
      </c>
      <c r="D26" s="3" t="s">
        <v>201</v>
      </c>
      <c r="E26" s="23">
        <v>1</v>
      </c>
      <c r="F26" s="75"/>
      <c r="G26" s="76">
        <f>E26*F26</f>
        <v>0</v>
      </c>
    </row>
    <row r="27" spans="1:7">
      <c r="A27" s="1">
        <v>4</v>
      </c>
      <c r="B27" s="24" t="s">
        <v>276</v>
      </c>
      <c r="C27" s="2" t="s">
        <v>289</v>
      </c>
      <c r="D27" s="3" t="s">
        <v>25</v>
      </c>
      <c r="E27" s="23">
        <f>3.5*3.5</f>
        <v>12.25</v>
      </c>
      <c r="F27" s="75"/>
      <c r="G27" s="76">
        <f>E27*F27</f>
        <v>0</v>
      </c>
    </row>
    <row r="28" spans="1:7">
      <c r="A28" s="1"/>
      <c r="B28" s="2"/>
      <c r="C28" s="25" t="s">
        <v>63</v>
      </c>
      <c r="D28" s="3"/>
      <c r="E28" s="23"/>
      <c r="F28" s="78"/>
      <c r="G28" s="77">
        <f>SUM(G24:G27)</f>
        <v>0</v>
      </c>
    </row>
    <row r="29" spans="1:7">
      <c r="A29" s="21" t="s">
        <v>64</v>
      </c>
      <c r="B29" s="22" t="s">
        <v>290</v>
      </c>
      <c r="C29" s="2"/>
      <c r="D29" s="3"/>
      <c r="E29" s="23"/>
      <c r="F29" s="78"/>
      <c r="G29" s="76"/>
    </row>
    <row r="30" spans="1:7">
      <c r="A30" s="1">
        <v>1</v>
      </c>
      <c r="B30" s="2" t="s">
        <v>286</v>
      </c>
      <c r="C30" s="2" t="s">
        <v>275</v>
      </c>
      <c r="D30" s="3" t="s">
        <v>201</v>
      </c>
      <c r="E30" s="23">
        <v>4</v>
      </c>
      <c r="F30" s="75"/>
      <c r="G30" s="76">
        <f>E30*F30</f>
        <v>0</v>
      </c>
    </row>
    <row r="31" spans="1:7">
      <c r="A31" s="1">
        <v>2</v>
      </c>
      <c r="B31" s="2" t="s">
        <v>341</v>
      </c>
      <c r="C31" s="2" t="s">
        <v>342</v>
      </c>
      <c r="D31" s="3" t="s">
        <v>201</v>
      </c>
      <c r="E31" s="23">
        <v>1</v>
      </c>
      <c r="F31" s="75"/>
      <c r="G31" s="76">
        <f>E31*F31</f>
        <v>0</v>
      </c>
    </row>
    <row r="32" spans="1:7">
      <c r="A32" s="1"/>
      <c r="B32" s="2"/>
      <c r="C32" s="25" t="s">
        <v>70</v>
      </c>
      <c r="D32" s="3"/>
      <c r="E32" s="23"/>
      <c r="F32" s="56"/>
      <c r="G32" s="77">
        <f>SUM(G30)</f>
        <v>0</v>
      </c>
    </row>
    <row r="33" spans="1:7">
      <c r="A33" s="21" t="s">
        <v>71</v>
      </c>
      <c r="B33" s="22" t="s">
        <v>291</v>
      </c>
      <c r="C33" s="2"/>
      <c r="D33" s="3"/>
      <c r="E33" s="23"/>
      <c r="F33" s="56"/>
      <c r="G33" s="76"/>
    </row>
    <row r="34" spans="1:7">
      <c r="A34" s="1">
        <v>1</v>
      </c>
      <c r="B34" s="2" t="s">
        <v>288</v>
      </c>
      <c r="C34" s="2" t="s">
        <v>275</v>
      </c>
      <c r="D34" s="3" t="s">
        <v>201</v>
      </c>
      <c r="E34" s="23">
        <v>2</v>
      </c>
      <c r="F34" s="75"/>
      <c r="G34" s="76">
        <f>E34*F34</f>
        <v>0</v>
      </c>
    </row>
    <row r="35" spans="1:7">
      <c r="A35" s="1">
        <v>2</v>
      </c>
      <c r="B35" s="2" t="s">
        <v>292</v>
      </c>
      <c r="C35" s="2" t="s">
        <v>135</v>
      </c>
      <c r="D35" s="3" t="s">
        <v>201</v>
      </c>
      <c r="E35" s="23"/>
      <c r="F35" s="75"/>
      <c r="G35" s="76">
        <f>E35*F35</f>
        <v>0</v>
      </c>
    </row>
    <row r="36" spans="1:7">
      <c r="A36" s="1">
        <v>3</v>
      </c>
      <c r="B36" s="2" t="s">
        <v>293</v>
      </c>
      <c r="C36" s="2" t="s">
        <v>289</v>
      </c>
      <c r="D36" s="3" t="s">
        <v>25</v>
      </c>
      <c r="E36" s="23">
        <f>3*2.5</f>
        <v>7.5</v>
      </c>
      <c r="F36" s="75"/>
      <c r="G36" s="76">
        <f>E36*F36</f>
        <v>0</v>
      </c>
    </row>
    <row r="37" spans="1:7">
      <c r="A37" s="1"/>
      <c r="B37" s="2"/>
      <c r="C37" s="25" t="s">
        <v>85</v>
      </c>
      <c r="D37" s="2"/>
      <c r="E37" s="23"/>
      <c r="F37" s="56"/>
      <c r="G37" s="77">
        <f>SUM(G34:G36)</f>
        <v>0</v>
      </c>
    </row>
    <row r="38" spans="1:7">
      <c r="A38" s="21" t="s">
        <v>86</v>
      </c>
      <c r="B38" s="22" t="s">
        <v>294</v>
      </c>
      <c r="C38" s="2"/>
      <c r="D38" s="2"/>
      <c r="E38" s="23"/>
      <c r="F38" s="56"/>
      <c r="G38" s="76"/>
    </row>
    <row r="39" spans="1:7">
      <c r="A39" s="1">
        <v>1</v>
      </c>
      <c r="B39" s="27" t="s">
        <v>295</v>
      </c>
      <c r="C39" s="2" t="s">
        <v>289</v>
      </c>
      <c r="D39" s="28" t="s">
        <v>25</v>
      </c>
      <c r="E39" s="29">
        <v>6</v>
      </c>
      <c r="F39" s="79"/>
      <c r="G39" s="80">
        <f>E39*F39</f>
        <v>0</v>
      </c>
    </row>
    <row r="40" spans="1:7">
      <c r="A40" s="1">
        <v>2</v>
      </c>
      <c r="B40" s="27" t="s">
        <v>296</v>
      </c>
      <c r="C40" s="2" t="s">
        <v>289</v>
      </c>
      <c r="D40" s="28" t="s">
        <v>25</v>
      </c>
      <c r="E40" s="29">
        <v>4.5</v>
      </c>
      <c r="F40" s="79"/>
      <c r="G40" s="80">
        <f>E40*F40</f>
        <v>0</v>
      </c>
    </row>
    <row r="41" spans="1:7">
      <c r="A41" s="1">
        <v>3</v>
      </c>
      <c r="B41" s="2" t="s">
        <v>297</v>
      </c>
      <c r="C41" s="2" t="s">
        <v>115</v>
      </c>
      <c r="D41" s="28" t="s">
        <v>25</v>
      </c>
      <c r="E41" s="29">
        <v>6</v>
      </c>
      <c r="F41" s="79"/>
      <c r="G41" s="80">
        <f>E41*F41</f>
        <v>0</v>
      </c>
    </row>
    <row r="42" spans="1:7">
      <c r="A42" s="1"/>
      <c r="B42" s="2"/>
      <c r="C42" s="25" t="s">
        <v>102</v>
      </c>
      <c r="D42" s="3"/>
      <c r="E42" s="23"/>
      <c r="F42" s="56"/>
      <c r="G42" s="77">
        <f>SUM(G39:G41)</f>
        <v>0</v>
      </c>
    </row>
    <row r="43" spans="1:7">
      <c r="A43" s="21" t="s">
        <v>103</v>
      </c>
      <c r="B43" s="22" t="s">
        <v>298</v>
      </c>
      <c r="C43" s="2"/>
      <c r="D43" s="2"/>
      <c r="E43" s="23"/>
      <c r="F43" s="56"/>
      <c r="G43" s="76"/>
    </row>
    <row r="44" spans="1:7">
      <c r="A44" s="1">
        <v>1</v>
      </c>
      <c r="B44" s="27" t="s">
        <v>299</v>
      </c>
      <c r="C44" s="2" t="s">
        <v>275</v>
      </c>
      <c r="D44" s="28" t="s">
        <v>201</v>
      </c>
      <c r="E44" s="29">
        <v>1</v>
      </c>
      <c r="F44" s="79"/>
      <c r="G44" s="80">
        <f>E44*F44</f>
        <v>0</v>
      </c>
    </row>
    <row r="45" spans="1:7">
      <c r="A45" s="1">
        <v>2</v>
      </c>
      <c r="B45" s="44" t="s">
        <v>343</v>
      </c>
      <c r="C45" s="2" t="s">
        <v>344</v>
      </c>
      <c r="D45" s="28" t="s">
        <v>25</v>
      </c>
      <c r="E45" s="29">
        <v>24</v>
      </c>
      <c r="F45" s="79"/>
      <c r="G45" s="80">
        <f>E45*F45</f>
        <v>0</v>
      </c>
    </row>
    <row r="46" spans="1:7">
      <c r="A46" s="1">
        <v>3</v>
      </c>
      <c r="B46" s="44" t="s">
        <v>345</v>
      </c>
      <c r="C46" s="2" t="s">
        <v>346</v>
      </c>
      <c r="D46" s="28" t="s">
        <v>201</v>
      </c>
      <c r="E46" s="29">
        <v>1</v>
      </c>
      <c r="F46" s="79"/>
      <c r="G46" s="80">
        <f>E46*F46</f>
        <v>0</v>
      </c>
    </row>
    <row r="47" spans="1:7">
      <c r="A47" s="1"/>
      <c r="B47" s="44"/>
      <c r="C47" s="25" t="s">
        <v>111</v>
      </c>
      <c r="D47" s="3"/>
      <c r="E47" s="23"/>
      <c r="F47" s="56"/>
      <c r="G47" s="77">
        <f>SUM(G43:G44)+G45+G46</f>
        <v>0</v>
      </c>
    </row>
    <row r="48" spans="1:7">
      <c r="A48" s="1"/>
      <c r="B48" s="30" t="s">
        <v>311</v>
      </c>
      <c r="C48" s="25"/>
      <c r="D48" s="3"/>
      <c r="E48" s="23"/>
      <c r="F48" s="56"/>
      <c r="G48" s="82">
        <f>G15+G22+G28+G32+G37+G42+G47</f>
        <v>0</v>
      </c>
    </row>
    <row r="49" spans="1:7">
      <c r="A49" s="31"/>
      <c r="B49" s="32" t="s">
        <v>268</v>
      </c>
      <c r="C49" s="33"/>
      <c r="D49" s="34"/>
      <c r="E49" s="35"/>
      <c r="F49" s="57"/>
      <c r="G49" s="83"/>
    </row>
    <row r="50" spans="1:7" ht="14.7" thickBot="1">
      <c r="A50" s="36"/>
      <c r="B50" s="37"/>
      <c r="C50" s="38"/>
      <c r="D50" s="39"/>
      <c r="E50" s="40"/>
      <c r="F50" s="58"/>
      <c r="G50" s="84"/>
    </row>
    <row r="51" spans="1:7">
      <c r="A51" s="11"/>
      <c r="B51" s="11"/>
      <c r="C51" s="11"/>
      <c r="D51" s="11"/>
      <c r="E51" s="11"/>
      <c r="F51" s="11"/>
      <c r="G51" s="11"/>
    </row>
    <row r="52" spans="1:7">
      <c r="A52" s="11"/>
      <c r="B52" s="41" t="s">
        <v>269</v>
      </c>
      <c r="C52" s="11"/>
      <c r="D52" s="11"/>
      <c r="E52" s="11"/>
      <c r="F52" s="11"/>
      <c r="G52" s="42"/>
    </row>
    <row r="53" spans="1:7">
      <c r="A53" s="11">
        <v>1</v>
      </c>
      <c r="B53" s="11" t="s">
        <v>270</v>
      </c>
      <c r="C53" s="11"/>
      <c r="D53" s="11"/>
      <c r="E53" s="11"/>
      <c r="F53" s="11"/>
      <c r="G53" s="11"/>
    </row>
    <row r="54" spans="1:7">
      <c r="A54" s="11">
        <v>2</v>
      </c>
      <c r="B54" s="11" t="s">
        <v>347</v>
      </c>
      <c r="C54" s="11"/>
      <c r="D54" s="11"/>
      <c r="E54" s="11"/>
      <c r="F54" s="11"/>
      <c r="G54" s="11"/>
    </row>
    <row r="55" spans="1:7">
      <c r="A55" s="11">
        <v>3</v>
      </c>
      <c r="B55" s="11" t="s">
        <v>348</v>
      </c>
      <c r="C55" s="11"/>
      <c r="D55" s="11"/>
      <c r="E55" s="11"/>
      <c r="F55" s="11"/>
      <c r="G55" s="11"/>
    </row>
    <row r="56" spans="1:7">
      <c r="A56" s="11"/>
      <c r="B56" s="43"/>
      <c r="C56" s="11"/>
      <c r="D56" s="11"/>
      <c r="E56" s="11"/>
      <c r="F56" s="11"/>
      <c r="G56" s="11"/>
    </row>
    <row r="57" spans="1:7">
      <c r="A57" s="11"/>
      <c r="B57" s="43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</sheetData>
  <sheetProtection algorithmName="SHA-512" hashValue="UvOaT/DM7gT/cI5II1F5uyKY3z+NxBV++1EXJ6hXevGDNBwm/ua5XdQjHApLRIvbJ4G1AruCVhzSwGSeARWFGA==" saltValue="1gznvosm2VAqfith9EYVtQ==" spinCount="100000" sheet="1" objects="1" scenarios="1"/>
  <mergeCells count="6">
    <mergeCell ref="G8:G9"/>
    <mergeCell ref="A8:A9"/>
    <mergeCell ref="B8:B9"/>
    <mergeCell ref="D8:D9"/>
    <mergeCell ref="E8:E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0BFE-D794-488C-8A1F-C21A474EE2A1}">
  <dimension ref="A1:N26"/>
  <sheetViews>
    <sheetView tabSelected="1" workbookViewId="0">
      <selection activeCell="E23" sqref="E23"/>
    </sheetView>
  </sheetViews>
  <sheetFormatPr defaultRowHeight="12" customHeight="1"/>
  <cols>
    <col min="2" max="2" width="40.41796875" customWidth="1"/>
    <col min="3" max="3" width="22.89453125" customWidth="1"/>
    <col min="4" max="4" width="3.5234375" bestFit="1" customWidth="1"/>
    <col min="5" max="5" width="13.68359375" customWidth="1"/>
    <col min="6" max="6" width="10.89453125" bestFit="1" customWidth="1"/>
    <col min="7" max="7" width="14.20703125" bestFit="1" customWidth="1"/>
  </cols>
  <sheetData>
    <row r="1" spans="1:14" ht="46.5" customHeight="1">
      <c r="A1" s="95"/>
      <c r="B1" s="96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" customHeight="1">
      <c r="A2" s="95"/>
      <c r="B2" s="97" t="s">
        <v>1</v>
      </c>
      <c r="C2" s="97"/>
      <c r="D2" s="97"/>
      <c r="E2" s="97" t="s">
        <v>2</v>
      </c>
      <c r="F2" s="97"/>
      <c r="G2" s="97"/>
      <c r="H2" s="97"/>
      <c r="I2" s="97"/>
      <c r="J2" s="97"/>
      <c r="K2" s="97"/>
      <c r="L2" s="98"/>
      <c r="M2" s="99"/>
      <c r="N2" s="100"/>
    </row>
    <row r="3" spans="1:14" ht="12" customHeight="1">
      <c r="A3" s="95"/>
      <c r="B3" s="97" t="s">
        <v>3</v>
      </c>
      <c r="C3" s="97"/>
      <c r="D3" s="97"/>
      <c r="E3" s="97" t="s">
        <v>4</v>
      </c>
      <c r="F3" s="97"/>
      <c r="G3" s="97"/>
      <c r="H3" s="97"/>
      <c r="I3" s="97"/>
      <c r="J3" s="97"/>
      <c r="K3" s="97"/>
      <c r="L3" s="101"/>
      <c r="M3" s="99"/>
      <c r="N3" s="100"/>
    </row>
    <row r="4" spans="1:14" ht="12" customHeight="1">
      <c r="A4" s="95"/>
      <c r="B4" s="97" t="s">
        <v>5</v>
      </c>
      <c r="C4" s="97"/>
      <c r="D4" s="97"/>
      <c r="E4" s="97" t="s">
        <v>6</v>
      </c>
      <c r="F4" s="97"/>
      <c r="G4" s="97"/>
      <c r="H4" s="97"/>
      <c r="I4" s="97"/>
      <c r="J4" s="97"/>
      <c r="K4" s="97"/>
      <c r="L4" s="98"/>
      <c r="M4" s="99"/>
      <c r="N4" s="100"/>
    </row>
    <row r="5" spans="1:14" ht="12" customHeight="1">
      <c r="A5" s="95"/>
      <c r="B5" s="97" t="s">
        <v>7</v>
      </c>
      <c r="C5" s="97"/>
      <c r="D5" s="97"/>
      <c r="E5" s="102">
        <v>2024</v>
      </c>
      <c r="F5" s="97"/>
      <c r="G5" s="97"/>
      <c r="H5" s="97"/>
      <c r="I5" s="97"/>
      <c r="J5" s="97"/>
      <c r="K5" s="97"/>
      <c r="L5" s="98"/>
      <c r="M5" s="99"/>
      <c r="N5" s="100"/>
    </row>
    <row r="6" spans="1:14" ht="12" customHeight="1" thickBot="1">
      <c r="A6" s="95"/>
      <c r="B6" s="103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2" customHeight="1" thickTop="1">
      <c r="A7" s="104"/>
      <c r="B7" s="95"/>
      <c r="C7" s="95"/>
      <c r="D7" s="105"/>
      <c r="E7" s="106" t="s">
        <v>8</v>
      </c>
      <c r="F7" s="87" t="s">
        <v>9</v>
      </c>
      <c r="G7" s="87" t="s">
        <v>10</v>
      </c>
      <c r="H7" s="95"/>
      <c r="I7" s="95"/>
      <c r="J7" s="95"/>
      <c r="K7" s="95"/>
      <c r="L7" s="95"/>
      <c r="M7" s="95"/>
      <c r="N7" s="95"/>
    </row>
    <row r="8" spans="1:14" ht="12" customHeight="1">
      <c r="A8" s="166" t="s">
        <v>11</v>
      </c>
      <c r="B8" s="166" t="s">
        <v>12</v>
      </c>
      <c r="C8" s="107" t="s">
        <v>13</v>
      </c>
      <c r="D8" s="168" t="s">
        <v>14</v>
      </c>
      <c r="E8" s="170"/>
      <c r="F8" s="164"/>
      <c r="G8" s="164"/>
      <c r="H8" s="95"/>
      <c r="I8" s="95"/>
      <c r="J8" s="95"/>
      <c r="K8" s="95"/>
      <c r="L8" s="95"/>
      <c r="M8" s="95"/>
      <c r="N8" s="95"/>
    </row>
    <row r="9" spans="1:14" ht="12" customHeight="1" thickBot="1">
      <c r="A9" s="167"/>
      <c r="B9" s="167"/>
      <c r="C9" s="108" t="s">
        <v>15</v>
      </c>
      <c r="D9" s="169"/>
      <c r="E9" s="171"/>
      <c r="F9" s="165"/>
      <c r="G9" s="165"/>
      <c r="H9" s="95"/>
      <c r="I9" s="95"/>
      <c r="J9" s="95"/>
      <c r="K9" s="95"/>
      <c r="L9" s="95"/>
      <c r="M9" s="95"/>
      <c r="N9" s="95"/>
    </row>
    <row r="10" spans="1:14" ht="12" customHeight="1">
      <c r="A10" s="109"/>
      <c r="B10" s="109"/>
      <c r="C10" s="110"/>
      <c r="D10" s="109"/>
      <c r="E10" s="109"/>
      <c r="F10" s="88"/>
      <c r="G10" s="88"/>
      <c r="H10" s="95"/>
      <c r="I10" s="95"/>
      <c r="J10" s="95"/>
      <c r="K10" s="95"/>
      <c r="L10" s="95"/>
      <c r="M10" s="95"/>
      <c r="N10" s="95"/>
    </row>
    <row r="11" spans="1:14" ht="12" customHeight="1">
      <c r="A11" s="111" t="s">
        <v>16</v>
      </c>
      <c r="B11" s="112" t="s">
        <v>351</v>
      </c>
      <c r="C11" s="113" t="s">
        <v>305</v>
      </c>
      <c r="D11" s="114" t="s">
        <v>319</v>
      </c>
      <c r="E11" s="115">
        <v>6</v>
      </c>
      <c r="F11" s="89"/>
      <c r="G11" s="90">
        <f>(E11*F11)</f>
        <v>0</v>
      </c>
      <c r="H11" s="95"/>
      <c r="I11" s="95"/>
      <c r="J11" s="95"/>
      <c r="K11" s="95"/>
      <c r="L11" s="95"/>
      <c r="M11" s="95"/>
      <c r="N11" s="95"/>
    </row>
    <row r="12" spans="1:14" ht="12" customHeight="1">
      <c r="A12" s="114"/>
      <c r="B12" s="60" t="s">
        <v>307</v>
      </c>
      <c r="C12" s="113" t="s">
        <v>24</v>
      </c>
      <c r="D12" s="114" t="s">
        <v>19</v>
      </c>
      <c r="E12" s="115">
        <v>2</v>
      </c>
      <c r="F12" s="89"/>
      <c r="G12" s="90">
        <f>(E12*F12)</f>
        <v>0</v>
      </c>
      <c r="H12" s="95"/>
      <c r="I12" s="95"/>
      <c r="J12" s="95"/>
      <c r="K12" s="95"/>
      <c r="L12" s="95"/>
      <c r="M12" s="95"/>
      <c r="N12" s="95"/>
    </row>
    <row r="13" spans="1:14" ht="12" customHeight="1">
      <c r="A13" s="114"/>
      <c r="B13" s="60" t="s">
        <v>306</v>
      </c>
      <c r="C13" s="113" t="s">
        <v>24</v>
      </c>
      <c r="D13" s="114" t="s">
        <v>19</v>
      </c>
      <c r="E13" s="115">
        <v>2</v>
      </c>
      <c r="F13" s="89"/>
      <c r="G13" s="90">
        <f>(E13*F13)</f>
        <v>0</v>
      </c>
      <c r="H13" s="95"/>
      <c r="I13" s="95"/>
      <c r="J13" s="95"/>
      <c r="K13" s="95"/>
      <c r="L13" s="95"/>
      <c r="M13" s="95"/>
      <c r="N13" s="95"/>
    </row>
    <row r="14" spans="1:14" ht="12" customHeight="1">
      <c r="A14" s="116"/>
      <c r="B14" s="117"/>
      <c r="C14" s="118"/>
      <c r="D14" s="119"/>
      <c r="E14" s="120" t="s">
        <v>360</v>
      </c>
      <c r="F14" s="91" t="s">
        <v>360</v>
      </c>
      <c r="G14" s="91"/>
    </row>
    <row r="15" spans="1:14" ht="12" customHeight="1">
      <c r="A15" s="116"/>
      <c r="B15" s="117" t="s">
        <v>309</v>
      </c>
      <c r="C15" s="118"/>
      <c r="D15" s="119"/>
      <c r="E15" s="120"/>
      <c r="F15" s="91"/>
      <c r="G15" s="92">
        <f>SUM(G11:G14)</f>
        <v>0</v>
      </c>
    </row>
    <row r="16" spans="1:14" ht="12" customHeight="1">
      <c r="A16" s="116"/>
      <c r="B16" s="117" t="s">
        <v>310</v>
      </c>
      <c r="C16" s="118"/>
      <c r="D16" s="119"/>
      <c r="E16" s="120"/>
      <c r="F16" s="91"/>
      <c r="G16" s="92">
        <f>G15*0.11</f>
        <v>0</v>
      </c>
    </row>
    <row r="17" spans="1:7" ht="12" customHeight="1">
      <c r="A17" s="116"/>
      <c r="B17" s="117" t="s">
        <v>308</v>
      </c>
      <c r="C17" s="118"/>
      <c r="D17" s="119"/>
      <c r="E17" s="120"/>
      <c r="F17" s="91"/>
      <c r="G17" s="92">
        <f>G15+G16</f>
        <v>0</v>
      </c>
    </row>
    <row r="18" spans="1:7" ht="12" customHeight="1">
      <c r="A18" s="121"/>
      <c r="B18" s="122"/>
      <c r="C18" s="123"/>
      <c r="D18" s="124"/>
      <c r="E18" s="125"/>
      <c r="F18" s="93"/>
      <c r="G18" s="94"/>
    </row>
    <row r="19" spans="1:7" ht="12" customHeight="1">
      <c r="A19" s="95"/>
      <c r="B19" s="95"/>
      <c r="C19" s="95"/>
      <c r="D19" s="95"/>
      <c r="E19" s="95"/>
      <c r="F19" s="95"/>
      <c r="G19" s="95"/>
    </row>
    <row r="20" spans="1:7" ht="12" customHeight="1">
      <c r="A20" s="95"/>
      <c r="B20" s="126" t="s">
        <v>312</v>
      </c>
      <c r="C20" s="95"/>
      <c r="D20" s="95"/>
      <c r="E20" s="95"/>
      <c r="F20" s="95"/>
      <c r="G20" s="127"/>
    </row>
    <row r="21" spans="1:7" ht="12" customHeight="1">
      <c r="A21" s="95">
        <v>1</v>
      </c>
      <c r="B21" s="95" t="s">
        <v>314</v>
      </c>
      <c r="C21" s="95"/>
      <c r="D21" s="95"/>
      <c r="E21" s="95"/>
      <c r="F21" s="95"/>
      <c r="G21" s="95"/>
    </row>
    <row r="22" spans="1:7" ht="12" customHeight="1">
      <c r="A22" s="95">
        <v>2</v>
      </c>
      <c r="B22" s="95" t="s">
        <v>313</v>
      </c>
      <c r="C22" s="95"/>
      <c r="D22" s="95"/>
      <c r="E22" s="95"/>
      <c r="F22" s="95"/>
      <c r="G22" s="95"/>
    </row>
    <row r="23" spans="1:7" ht="12" customHeight="1">
      <c r="A23" s="95">
        <v>3</v>
      </c>
      <c r="B23" s="95" t="s">
        <v>315</v>
      </c>
      <c r="C23" s="95"/>
      <c r="D23" s="95"/>
      <c r="E23" s="95"/>
      <c r="F23" s="95"/>
      <c r="G23" s="95"/>
    </row>
    <row r="24" spans="1:7" ht="12" customHeight="1">
      <c r="A24" s="95"/>
      <c r="B24" s="128"/>
      <c r="C24" s="95"/>
      <c r="D24" s="95"/>
      <c r="E24" s="95"/>
      <c r="F24" s="95"/>
      <c r="G24" s="95"/>
    </row>
    <row r="25" spans="1:7" ht="12" customHeight="1">
      <c r="A25" s="95"/>
      <c r="B25" s="128"/>
      <c r="C25" s="95"/>
      <c r="D25" s="95"/>
      <c r="E25" s="95"/>
      <c r="F25" s="95"/>
      <c r="G25" s="95"/>
    </row>
    <row r="26" spans="1:7" ht="12" customHeight="1">
      <c r="A26" s="95"/>
      <c r="B26" s="95"/>
      <c r="C26" s="95"/>
      <c r="D26" s="95"/>
      <c r="E26" s="95"/>
      <c r="F26" s="95"/>
      <c r="G26" s="95"/>
    </row>
  </sheetData>
  <sheetProtection algorithmName="SHA-512" hashValue="yscmzqL6QOYu+5YnwfA7wF7Iv7QqUI/bWWuwNh3ih69LXQdC8tHvpJPuAWepjulHltuI40m0XuYCde0ipgydgg==" saltValue="cp6Gpx9IvwZaysudW3S4qg==" spinCount="100000" sheet="1" objects="1" scenarios="1"/>
  <mergeCells count="6">
    <mergeCell ref="G8:G9"/>
    <mergeCell ref="A8:A9"/>
    <mergeCell ref="B8:B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dan Termin Pembayaran</vt:lpstr>
      <vt:lpstr>1. BoQ Bangunan</vt:lpstr>
      <vt:lpstr>2. BoQ Interior</vt:lpstr>
      <vt:lpstr>3.BoQ Storage (Doks &amp; barang)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Manullang</dc:creator>
  <cp:lastModifiedBy>Dina Manullang</cp:lastModifiedBy>
  <dcterms:created xsi:type="dcterms:W3CDTF">2024-02-22T10:11:55Z</dcterms:created>
  <dcterms:modified xsi:type="dcterms:W3CDTF">2024-03-19T13:23:27Z</dcterms:modified>
</cp:coreProperties>
</file>